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EKONOM\СТРАТЕГИЯ\3  ОТЧЕТ ПО СТРАТЕГИИ\Отчет за 2024 год\3  Для размещения на сайте\"/>
    </mc:Choice>
  </mc:AlternateContent>
  <bookViews>
    <workbookView xWindow="0" yWindow="0" windowWidth="28800" windowHeight="12135" tabRatio="887" activeTab="1"/>
  </bookViews>
  <sheets>
    <sheet name="Финансирование" sheetId="12" r:id="rId1"/>
    <sheet name="Целевые ориентиры" sheetId="14" r:id="rId2"/>
    <sheet name="Динамика показателей" sheetId="15" r:id="rId3"/>
  </sheets>
  <definedNames>
    <definedName name="_xlnm._FilterDatabase" localSheetId="2" hidden="1">'Динамика показателей'!$A$7:$N$97</definedName>
    <definedName name="_xlnm._FilterDatabase" localSheetId="0" hidden="1">Финансирование!$A$5:$I$237</definedName>
    <definedName name="_xlnm._FilterDatabase" localSheetId="1" hidden="1">'Целевые ориентиры'!$A$9:$N$39</definedName>
    <definedName name="№_раздела">#REF!</definedName>
    <definedName name="_xlnm.Print_Titles" localSheetId="2">'Динамика показателей'!$A:$B,'Динамика показателей'!$5:$7</definedName>
    <definedName name="_xlnm.Print_Titles" localSheetId="0">Финансирование!$A:$B,Финансирование!$5:$6</definedName>
    <definedName name="_xlnm.Print_Titles" localSheetId="1">'Целевые ориентиры'!$A:$B,'Целевые ориентиры'!$7:$9</definedName>
    <definedName name="_xlnm.Print_Area" localSheetId="2">'Динамика показателей'!$A$1:$N$118</definedName>
    <definedName name="_xlnm.Print_Area" localSheetId="0">Финансирование!$A$1:$H$279</definedName>
    <definedName name="_xlnm.Print_Area" localSheetId="1">'Целевые ориентиры'!$A$1:$N$88</definedName>
    <definedName name="Фактический_срок_исполнения">#REF!</definedName>
  </definedNames>
  <calcPr calcId="152511"/>
</workbook>
</file>

<file path=xl/calcChain.xml><?xml version="1.0" encoding="utf-8"?>
<calcChain xmlns="http://schemas.openxmlformats.org/spreadsheetml/2006/main">
  <c r="G112" i="12" l="1"/>
  <c r="G114" i="12"/>
  <c r="G65" i="12" l="1"/>
  <c r="E157" i="12" l="1"/>
  <c r="G147" i="12" l="1"/>
  <c r="G192" i="12"/>
  <c r="G109" i="12" l="1"/>
  <c r="F118" i="12" l="1"/>
  <c r="G167" i="12" l="1"/>
  <c r="G166" i="12"/>
  <c r="F166" i="12"/>
  <c r="F167" i="12"/>
  <c r="N59" i="15" l="1"/>
  <c r="N66" i="15" l="1"/>
  <c r="N53" i="15"/>
  <c r="N84" i="15"/>
  <c r="N43" i="15"/>
  <c r="N49" i="15"/>
  <c r="N31" i="15"/>
  <c r="N41" i="15"/>
  <c r="N34" i="15"/>
  <c r="N45" i="15"/>
  <c r="N60" i="15"/>
  <c r="N80" i="15"/>
  <c r="N38" i="15"/>
  <c r="N54" i="15"/>
  <c r="N85" i="15"/>
  <c r="N91" i="15"/>
  <c r="N96" i="15"/>
  <c r="N95" i="15"/>
  <c r="N92" i="15"/>
  <c r="N30" i="15"/>
  <c r="N36" i="15"/>
  <c r="N47" i="15"/>
  <c r="N52" i="15"/>
  <c r="N57" i="15"/>
  <c r="N62" i="15"/>
  <c r="N83" i="15"/>
  <c r="N88" i="15"/>
  <c r="N93" i="15"/>
  <c r="N46" i="15"/>
  <c r="N61" i="15"/>
  <c r="N97" i="15"/>
  <c r="N42" i="15"/>
  <c r="N82" i="15"/>
  <c r="N86" i="15"/>
  <c r="N11" i="15"/>
  <c r="N35" i="14" l="1"/>
  <c r="N38" i="14"/>
  <c r="N20" i="14"/>
  <c r="N37" i="14"/>
  <c r="N36" i="14"/>
  <c r="N21" i="14"/>
  <c r="E96" i="12" l="1"/>
  <c r="F215" i="12" l="1"/>
  <c r="G118" i="12" l="1"/>
  <c r="G108" i="12" l="1"/>
  <c r="F96" i="12" l="1"/>
  <c r="F94" i="12"/>
  <c r="F90" i="12"/>
  <c r="G88" i="12"/>
  <c r="N18" i="14" l="1"/>
  <c r="D84" i="12"/>
  <c r="C84" i="12" s="1"/>
  <c r="D81" i="12"/>
  <c r="C78" i="12"/>
  <c r="D48" i="12"/>
  <c r="G37" i="12" l="1"/>
  <c r="G117" i="12" l="1"/>
  <c r="F117" i="12"/>
  <c r="E109" i="12" l="1"/>
  <c r="F45" i="12" l="1"/>
  <c r="E37" i="12" l="1"/>
  <c r="D37" i="12" l="1"/>
  <c r="G138" i="12" l="1"/>
  <c r="E138" i="12"/>
  <c r="E137" i="12"/>
  <c r="E111" i="12" l="1"/>
  <c r="E110" i="12" l="1"/>
  <c r="G110" i="12"/>
  <c r="N35" i="15" l="1"/>
  <c r="N17" i="14"/>
  <c r="F70" i="12" l="1"/>
  <c r="E70" i="12"/>
  <c r="F64" i="12" l="1"/>
  <c r="F60" i="12" l="1"/>
  <c r="F56" i="12"/>
  <c r="E56" i="12"/>
  <c r="F41" i="12" l="1"/>
  <c r="G96" i="12" l="1"/>
  <c r="F92" i="12" l="1"/>
  <c r="C222" i="12" l="1"/>
  <c r="E121" i="12" l="1"/>
  <c r="G121" i="12"/>
  <c r="F121" i="12"/>
  <c r="E117" i="12" l="1"/>
  <c r="F114" i="12"/>
  <c r="E108" i="12" l="1"/>
  <c r="D103" i="12" l="1"/>
  <c r="E103" i="12"/>
  <c r="F103" i="12"/>
  <c r="G103" i="12"/>
  <c r="D64" i="12" l="1"/>
  <c r="E218" i="12" l="1"/>
  <c r="F218" i="12"/>
  <c r="G218" i="12"/>
  <c r="D218" i="12"/>
  <c r="C182" i="12" l="1"/>
  <c r="E179" i="12"/>
  <c r="F179" i="12"/>
  <c r="G179" i="12"/>
  <c r="D179" i="12"/>
  <c r="E124" i="12"/>
  <c r="F124" i="12"/>
  <c r="G124" i="12"/>
  <c r="D124" i="12"/>
  <c r="C125" i="12"/>
  <c r="C126" i="12"/>
  <c r="C124" i="12" l="1"/>
  <c r="C179" i="12"/>
  <c r="D73" i="12" l="1"/>
  <c r="G74" i="12" l="1"/>
  <c r="C74" i="12" s="1"/>
  <c r="C75" i="12"/>
  <c r="E73" i="12"/>
  <c r="F73" i="12"/>
  <c r="G73" i="12" l="1"/>
  <c r="C73" i="12" s="1"/>
  <c r="G64" i="12" l="1"/>
  <c r="E64" i="12"/>
  <c r="G63" i="12" l="1"/>
  <c r="E59" i="12" l="1"/>
  <c r="G53" i="12" l="1"/>
  <c r="G19" i="12" l="1"/>
  <c r="F100" i="12" l="1"/>
  <c r="G99" i="12" l="1"/>
  <c r="F99" i="12"/>
  <c r="E99" i="12"/>
  <c r="F98" i="12" l="1"/>
  <c r="E69" i="12"/>
  <c r="F69" i="12"/>
  <c r="G69" i="12"/>
  <c r="D69" i="12"/>
  <c r="C72" i="12"/>
  <c r="C219" i="12"/>
  <c r="F209" i="12"/>
  <c r="F208" i="12" l="1"/>
  <c r="C204" i="12" l="1"/>
  <c r="E203" i="12"/>
  <c r="F203" i="12"/>
  <c r="G203" i="12"/>
  <c r="D203" i="12"/>
  <c r="F196" i="12" l="1"/>
  <c r="E193" i="12" l="1"/>
  <c r="F193" i="12"/>
  <c r="G193" i="12"/>
  <c r="D193" i="12"/>
  <c r="E189" i="12"/>
  <c r="F189" i="12"/>
  <c r="G189" i="12"/>
  <c r="D189" i="12"/>
  <c r="C193" i="12" l="1"/>
  <c r="C189" i="12"/>
  <c r="C170" i="12"/>
  <c r="F155" i="12" l="1"/>
  <c r="G152" i="12"/>
  <c r="F150" i="12"/>
  <c r="E166" i="12"/>
  <c r="C166" i="12" s="1"/>
  <c r="C165" i="12" l="1"/>
  <c r="C158" i="12" l="1"/>
  <c r="C154" i="12" l="1"/>
  <c r="C149" i="12" l="1"/>
  <c r="C147" i="12"/>
  <c r="C144" i="12"/>
  <c r="C145" i="12"/>
  <c r="C171" i="12" l="1"/>
  <c r="C168" i="12" l="1"/>
  <c r="C162" i="12"/>
  <c r="C161" i="12"/>
  <c r="C160" i="12"/>
  <c r="C131" i="12" l="1"/>
  <c r="C236" i="12"/>
  <c r="C164" i="12" l="1"/>
  <c r="C20" i="12"/>
  <c r="C66" i="12" l="1"/>
  <c r="C52" i="12"/>
  <c r="A95" i="15" l="1"/>
  <c r="A96" i="15" s="1"/>
  <c r="A97" i="15" s="1"/>
  <c r="A81" i="15"/>
  <c r="A66" i="15"/>
  <c r="A51" i="15"/>
  <c r="A52" i="15" s="1"/>
  <c r="A38" i="15"/>
  <c r="A35" i="15"/>
  <c r="A36" i="15" s="1"/>
  <c r="A31" i="15"/>
  <c r="A27" i="15"/>
  <c r="A10" i="15"/>
  <c r="A11" i="15" s="1"/>
  <c r="A12" i="15" s="1"/>
  <c r="A13" i="15" s="1"/>
  <c r="A14" i="15" s="1"/>
  <c r="A15" i="15" s="1"/>
  <c r="A16" i="15" s="1"/>
  <c r="A17" i="15" s="1"/>
  <c r="A37" i="14"/>
  <c r="A38" i="14" s="1"/>
  <c r="A39" i="14" s="1"/>
  <c r="A29" i="14"/>
  <c r="A18" i="14"/>
  <c r="A19" i="14" s="1"/>
  <c r="A20" i="14" s="1"/>
  <c r="A21" i="14" s="1"/>
  <c r="A22" i="14" s="1"/>
  <c r="A23" i="14" s="1"/>
  <c r="A24" i="14" s="1"/>
  <c r="A25" i="14" s="1"/>
  <c r="A26" i="14" s="1"/>
  <c r="A12" i="14"/>
  <c r="A13" i="14" s="1"/>
  <c r="A14" i="14" s="1"/>
  <c r="A15" i="14" s="1"/>
  <c r="C71" i="12" l="1"/>
  <c r="C36" i="12"/>
  <c r="C30" i="12"/>
  <c r="C226" i="12" l="1"/>
  <c r="C225" i="12" l="1"/>
  <c r="C221" i="12"/>
  <c r="C215" i="12"/>
  <c r="C195" i="12"/>
  <c r="C194" i="12"/>
  <c r="C191" i="12"/>
  <c r="C190" i="12"/>
  <c r="C157" i="12"/>
  <c r="C132" i="12"/>
  <c r="C100" i="12"/>
  <c r="C99" i="12"/>
  <c r="C42" i="12"/>
  <c r="C39" i="12"/>
  <c r="C37" i="12"/>
  <c r="C35" i="12"/>
  <c r="C33" i="12"/>
  <c r="C32" i="12"/>
  <c r="C31" i="12"/>
  <c r="C216" i="12" l="1"/>
  <c r="C86" i="12"/>
  <c r="C104" i="12"/>
  <c r="C105" i="12"/>
  <c r="C108" i="12"/>
  <c r="C109" i="12"/>
  <c r="C223" i="12"/>
  <c r="C220" i="12"/>
  <c r="C94" i="12"/>
  <c r="C96" i="12"/>
  <c r="C197" i="12"/>
  <c r="C230" i="12"/>
  <c r="C47" i="12"/>
  <c r="C200" i="12"/>
  <c r="C229" i="12"/>
  <c r="C59" i="12"/>
  <c r="C56" i="12"/>
  <c r="C60" i="12"/>
  <c r="C112" i="12"/>
  <c r="C121" i="12"/>
  <c r="C136" i="12"/>
  <c r="C46" i="12"/>
  <c r="C54" i="12"/>
  <c r="C63" i="12"/>
  <c r="C45" i="12"/>
  <c r="C53" i="12"/>
  <c r="C57" i="12"/>
  <c r="C98" i="12"/>
  <c r="C111" i="12"/>
  <c r="C23" i="12"/>
  <c r="C89" i="12"/>
  <c r="C91" i="12"/>
  <c r="C48" i="12"/>
  <c r="C148" i="12"/>
  <c r="C62" i="12"/>
  <c r="C134" i="12"/>
  <c r="C82" i="12"/>
  <c r="C122" i="12"/>
  <c r="C22" i="12"/>
  <c r="C180" i="12"/>
  <c r="C19" i="12"/>
  <c r="C64" i="12"/>
  <c r="C65" i="12"/>
  <c r="C106" i="12"/>
  <c r="C110" i="12"/>
  <c r="C135" i="12"/>
  <c r="C137" i="12"/>
  <c r="C138" i="12"/>
  <c r="C139" i="12"/>
  <c r="C14" i="12"/>
  <c r="C16" i="12"/>
  <c r="C114" i="12"/>
  <c r="C115" i="12"/>
  <c r="C118" i="12"/>
  <c r="C140" i="12"/>
  <c r="C150" i="12"/>
  <c r="C152" i="12"/>
  <c r="C69" i="12"/>
  <c r="C70" i="12"/>
  <c r="C117" i="12"/>
  <c r="C155" i="12"/>
  <c r="C233" i="12"/>
  <c r="C234" i="12"/>
  <c r="C41" i="12"/>
  <c r="C27" i="12"/>
  <c r="C44" i="12"/>
  <c r="C68" i="12"/>
  <c r="C81" i="12"/>
  <c r="C127" i="12"/>
  <c r="C129" i="12"/>
  <c r="C174" i="12"/>
  <c r="C175" i="12"/>
  <c r="C178" i="12"/>
  <c r="C183" i="12"/>
  <c r="C188" i="12"/>
  <c r="C196" i="12"/>
  <c r="C212" i="12"/>
  <c r="C232" i="12"/>
  <c r="C80" i="12"/>
  <c r="C130" i="12"/>
  <c r="C167" i="12"/>
  <c r="C176" i="12"/>
  <c r="C206" i="12"/>
  <c r="C208" i="12"/>
  <c r="C209" i="12"/>
  <c r="C210" i="12"/>
  <c r="C26" i="12"/>
  <c r="C24" i="12"/>
  <c r="C88" i="12"/>
  <c r="C90" i="12"/>
  <c r="C92" i="12"/>
  <c r="C181" i="12"/>
  <c r="C192" i="12"/>
  <c r="C205" i="12"/>
  <c r="C203" i="12"/>
  <c r="C103" i="12" l="1"/>
  <c r="C218" i="12"/>
  <c r="N22" i="14" l="1"/>
  <c r="N23" i="14"/>
  <c r="N19" i="14"/>
  <c r="N15" i="14" l="1"/>
  <c r="N12" i="14" l="1"/>
  <c r="N28" i="14" l="1"/>
  <c r="N75" i="15" l="1"/>
  <c r="N25" i="15"/>
  <c r="N14" i="14"/>
  <c r="N9" i="15"/>
  <c r="N29" i="15"/>
  <c r="N13" i="14"/>
  <c r="N14" i="15" l="1"/>
  <c r="N15" i="15"/>
  <c r="N17" i="15"/>
  <c r="N73" i="15"/>
  <c r="N10" i="15" l="1"/>
  <c r="N51" i="15"/>
  <c r="N25" i="14"/>
  <c r="N27" i="15"/>
  <c r="N50" i="15" l="1"/>
  <c r="N24" i="14"/>
  <c r="N26" i="15"/>
  <c r="N37" i="15"/>
  <c r="N13" i="15" l="1"/>
  <c r="N16" i="15" l="1"/>
  <c r="N72" i="15"/>
  <c r="N34" i="14"/>
  <c r="N69" i="15" l="1"/>
  <c r="N31" i="14"/>
  <c r="N77" i="15"/>
  <c r="N39" i="14"/>
  <c r="N68" i="15"/>
  <c r="N30" i="14"/>
  <c r="N56" i="15" l="1"/>
  <c r="N26" i="14"/>
  <c r="N71" i="15"/>
  <c r="N33" i="14"/>
  <c r="N70" i="15" l="1"/>
  <c r="N32" i="14"/>
  <c r="N12" i="15" l="1"/>
  <c r="N22" i="15" l="1"/>
  <c r="N23" i="15"/>
  <c r="N11" i="14"/>
</calcChain>
</file>

<file path=xl/sharedStrings.xml><?xml version="1.0" encoding="utf-8"?>
<sst xmlns="http://schemas.openxmlformats.org/spreadsheetml/2006/main" count="811" uniqueCount="620">
  <si>
    <t>№ п/п</t>
  </si>
  <si>
    <t>Единицы измерения</t>
  </si>
  <si>
    <t>человек</t>
  </si>
  <si>
    <t>%</t>
  </si>
  <si>
    <t>Общая площадь жилых помещений, приходящаяся в среднем на одного жителя</t>
  </si>
  <si>
    <t>Доля занятых в сфере малого и среднего предпринимательства в общей численности занятых в экономике</t>
  </si>
  <si>
    <t>Ввод в действие жилых домов на одного жителя</t>
  </si>
  <si>
    <t>Наименование показателя</t>
  </si>
  <si>
    <t>тыс. чел.</t>
  </si>
  <si>
    <t>на 1 000 чел. населения</t>
  </si>
  <si>
    <t>Среднегодовая численность населения</t>
  </si>
  <si>
    <t>Общий коэффициент рождаемости населения</t>
  </si>
  <si>
    <t>Общий коэффициент смертности населения</t>
  </si>
  <si>
    <t>Темп роста реальной заработной платы работников организаций города к базовому году</t>
  </si>
  <si>
    <t>Доля детей в возрасте от 1 до 6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в возрасте от 1 до 6 лет</t>
  </si>
  <si>
    <t>Доля населения, систематически занимающегося физической культурой и спортом</t>
  </si>
  <si>
    <t>кв. м</t>
  </si>
  <si>
    <t>кв. м/чел.</t>
  </si>
  <si>
    <t>ед.</t>
  </si>
  <si>
    <t>Число субъектов малого и среднего предпринимательства на 10 000 жителей</t>
  </si>
  <si>
    <t>лет</t>
  </si>
  <si>
    <t>тыс. рублей</t>
  </si>
  <si>
    <t>руб.</t>
  </si>
  <si>
    <t xml:space="preserve">Объем отгруженных товаров, выполненных работ и услуг собственными силами по полному кругу организаций </t>
  </si>
  <si>
    <t>Всего</t>
  </si>
  <si>
    <t>Количество обустроенных общественных пространств и дворовых территорий нарастающим итогом</t>
  </si>
  <si>
    <t>Доля детей в возрасте от 5 до 18 лет, получающих услуги по дополнительному образованию в организациях всех форм собственности, в общей численности детей данной возрастной группы</t>
  </si>
  <si>
    <t>Численность участников клубных формирований</t>
  </si>
  <si>
    <t>Количество общественных проектов, получивших ресурсную поддержку, нарастающим итогом</t>
  </si>
  <si>
    <t>Высокопроизводительная экономика</t>
  </si>
  <si>
    <t>Ожидаемая продолжительность жизни</t>
  </si>
  <si>
    <t>2.2.</t>
  </si>
  <si>
    <t>Темп роста производительности труда к базовому году</t>
  </si>
  <si>
    <t xml:space="preserve">Доля занятых в экономике в общей численности трудоспособного населения </t>
  </si>
  <si>
    <t>Удельный вес граждан, фактически пользующихся мерами социальной поддержки от общего количества граждан, имеющих право на меры социальной поддержки</t>
  </si>
  <si>
    <t>Уровень удовлетворенности населения города Зеленогорска качеством предоставления государственных услуг в сфере социальной поддержки, социального обслуживания населения</t>
  </si>
  <si>
    <t>Коэффициент естественного прироста (убыли) населения</t>
  </si>
  <si>
    <t>Коэффициент миграционного прироста (снижения) населения</t>
  </si>
  <si>
    <t>Объем отгруженных товаров, выполненных работ, оказанных услуг собственными силами организаций в расчете на душу населения</t>
  </si>
  <si>
    <t>Доля граждан, открывших собственное дело, в общей численности безработных граждан, зарегистрированных в органах службы занятости</t>
  </si>
  <si>
    <t>Доля трудоустроенных граждан, относящихся к категории инвалидов, в общей численности инвалидов, обратившихся в целях поиска подходящей работы</t>
  </si>
  <si>
    <t xml:space="preserve">Удовлетворенность населения качеством образовательных услуг  </t>
  </si>
  <si>
    <t>Удельный вес численности обучающихся с ограниченными возможностями здоровья, получающих образование в общеобразовательных организациях в соответствии с федеральным государственным образовательным стандартом начального общего образования обучающихся с ограниченными возможностями здоровья, в общем количестве обучающихся с ограниченными возможностями здоровья</t>
  </si>
  <si>
    <t>Доля выпускников муниципальных бюджетных общеобразовательных учреждений, которые поступают на специальности инженерно-технического и естественно-научного направлений в высшие и средние профессиональные учебные заведения</t>
  </si>
  <si>
    <t>Охват всех граждан диспансеризацией</t>
  </si>
  <si>
    <t>Доля посещений детьми медицинских организаций с профилактическими целями</t>
  </si>
  <si>
    <t>Количество спортсменов  города в составе краевых, национальных сборных команд по видам спорта</t>
  </si>
  <si>
    <t>Количество лиц, принявших участие в выполнении нормативов испытаний (тестов) комплекса ГТО</t>
  </si>
  <si>
    <t>Количество организованных мероприятий, включая фестивали, концерты, инсталляции, тренинги, обучающие семинары и интерактивные программы, творческие встречи и мастер-классы</t>
  </si>
  <si>
    <t>единиц</t>
  </si>
  <si>
    <t>Количество предметов основного фонда учреждений музейного типа всех форм собственности</t>
  </si>
  <si>
    <t xml:space="preserve">Численность пользователей общедоступных библиотек всех форм собственности </t>
  </si>
  <si>
    <t>Доля детей в возрасте 5 – 18 лет, получающих услуги по дополнительному образованию в муниципальных бюджетных учреждениях дополнительного образования в сфере культуры и искусства, в общей численности детей данной возрастной группы</t>
  </si>
  <si>
    <t>- образовательные учреждения</t>
  </si>
  <si>
    <t>- учреждения культуры</t>
  </si>
  <si>
    <t>- учреждения физкультуры и спорта</t>
  </si>
  <si>
    <t>- учреждения социальной защиты населения</t>
  </si>
  <si>
    <t>Доля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</t>
  </si>
  <si>
    <t>Снижение рисков и смягчение последствий чрезвычайных ситуаций природного и техногенного характера</t>
  </si>
  <si>
    <t>Обеспеченность системами видеонаблюдения мест массового пребывания людей на территории города Зеленогорска</t>
  </si>
  <si>
    <t>Обеспеченность инженерно-техническими средствами охраны территорий муниципальных бюджетных учреждений, в том числе:</t>
  </si>
  <si>
    <t>Удельный вес уловленных и обезвреженных вредных веществ в общем объеме загрязняющих веществ</t>
  </si>
  <si>
    <t>Удельный вес граждан, получающих меры социальной поддержки адресно (с учетом доходности), в общей численности получателей мер социальной поддержки</t>
  </si>
  <si>
    <t>Доля населения, пользующегося электронным проездным билетом</t>
  </si>
  <si>
    <t>Стратегическая цель: повышение качества и уровня жизни населения города на основе устойчивого роста экономики, формирования среды, благоприятной для предпринимательской деятельности и комфортного проживания</t>
  </si>
  <si>
    <t>Цель 2 уровня – рост предпринимательской активности</t>
  </si>
  <si>
    <t>Цель 2 уровня – создание сбалансированного по спросу и предложению рынка труда Зеленогорска</t>
  </si>
  <si>
    <t>Цель 1 уровня – эффективная капитализация расширяющихся возможностей самореализации различных групп населения на основе большей свободы выбора и ценностного самоопределения</t>
  </si>
  <si>
    <t>Цель 2 уровня – обеспечение условий для доступного и качественного непрерывного образования в соответствии с индивидуальными запросами, способностями и потребностями каждого жителя Зеленогорска</t>
  </si>
  <si>
    <t>Цель 2 уровня – развитие здоровьесберегающей среды как основы формирования города – территории здоровья</t>
  </si>
  <si>
    <t>Цель 3 уровня – укрепление здоровья каждого гражданина и общества в целом и увеличение продолжительности жизни, продление периода активного долголетия зеленогорцев</t>
  </si>
  <si>
    <t>Цель 3 уровня – повышение уровня физической культуры горожан и степени доступности услуг индустрии здорового образа жизни</t>
  </si>
  <si>
    <t>Цель 2 уровня – стимулирование культурно-творческой активности населения, поддержка творческих союзов, объединений, деятельность которых направлена на формирование социокультурной идентичности и реализацию возможностей творческой самореализации каждого жителя Зеленогорска</t>
  </si>
  <si>
    <t>Цель 2 уровня – повышение гражданской активности через рост инициации общественных проектов, реализуемых на территории города</t>
  </si>
  <si>
    <t>Цель 2 уровня – повышение уровня комфортности  проживания в городе в соответствии с запросами горожан</t>
  </si>
  <si>
    <t>Цель 3 уровня – повышение эффективности функционирования жилищно-коммунальной сферы, обеспечивающей доступность жилья для граждан, безопасное и комфортное проживание в нём</t>
  </si>
  <si>
    <t>Цель 3 уровня – развитие улично-дорожной сети города и повышение качества транспортного обслуживания населения</t>
  </si>
  <si>
    <t>Цель 3 уровня – трансформация городского пространства и внешнего облика Зеленогорска в целях формирования представления о комфортном, удобном, безопасном, привлекательном городе для жизни и работы</t>
  </si>
  <si>
    <t>Цель 2 уровня – повышение уровня безопасности проживания и работы в городе</t>
  </si>
  <si>
    <t>Цель 3 уровня – повышение уровня общественной безопасности населения</t>
  </si>
  <si>
    <t>Цель 3 уровня – улучшение экологической ситуации на территории г. Зеленогорска</t>
  </si>
  <si>
    <t>Цель 2 уровня – повышение уровня и качества жизни граждан, нуждающихся в социальной поддержке, повышение доступности предоставления различных услуг в сфере социального обслуживания и помощи слабо защищенным слоям населения и любому человеку, попавшему в трудную жизненную ситуацию</t>
  </si>
  <si>
    <t>Количество многоквартирных домов, в которых проведен капитальный ремонт</t>
  </si>
  <si>
    <t>II Динамика показателей Плана мероприятий по реализации Стратегии социально-экономического развития города Зеленогорска на период до 2030 года</t>
  </si>
  <si>
    <t>Цель 1 уровня – повышение конкурентоспособности экономики города на основе широкого использования инновационных технологий</t>
  </si>
  <si>
    <t>Доля учреждений социальной сферы, оснащенных сайтом, в том числе:</t>
  </si>
  <si>
    <t>Цель 2 уровня – повышение эффективности обеспечивающих жизнедеятельность города сервисов и инфраструктур</t>
  </si>
  <si>
    <t>Целевые ориентиры Стратегии социально-экономического развития города Зеленогорска на период до 2030 года</t>
  </si>
  <si>
    <t>Капитализация человеческого потенциала</t>
  </si>
  <si>
    <t>Цель 2 уровня – достижение устойчивых темпов роста производства продукции для удовлетворения спроса на внутреннем и внешнем рынках за счет развития традиционных секторов экономики и создания новых высокотехнологичных производств</t>
  </si>
  <si>
    <t>Темп роста объема отгруженных товаров, выполненных работ и услуг собственными силами организаций к базовому году</t>
  </si>
  <si>
    <t xml:space="preserve">Темп роста оборота организаций малого и среднего предпринимательства к базовому году </t>
  </si>
  <si>
    <t>Среднегодовая численность занятых в экономике</t>
  </si>
  <si>
    <t>Среднемесячная заработная плата работников организаций города</t>
  </si>
  <si>
    <t>на 10 000 чел. населения</t>
  </si>
  <si>
    <t>единиц ежегодно</t>
  </si>
  <si>
    <t>-</t>
  </si>
  <si>
    <t xml:space="preserve">Доля молодежи города Зеленогорска, вовлеченная в деятельность Молодежного центра </t>
  </si>
  <si>
    <t>Доля граждан, получивших социальные услуги в организациях социального обслуживания граждан, в общей численности граждан, обратившихся за их получением</t>
  </si>
  <si>
    <t>Доля многоквартирных домов, требующих проведения капитального ремонта, в общем количестве многоквартирных домов</t>
  </si>
  <si>
    <t>тыс. руб.</t>
  </si>
  <si>
    <t>ООО "Искра"</t>
  </si>
  <si>
    <r>
      <t>Объем отгруженных товаров, выполненных работ и услуг собственными силами по промышленным видам деятельности</t>
    </r>
    <r>
      <rPr>
        <i/>
        <sz val="11"/>
        <color rgb="FF000000"/>
        <rFont val="Times New Roman"/>
        <family val="1"/>
        <charset val="204"/>
      </rPr>
      <t xml:space="preserve"> </t>
    </r>
  </si>
  <si>
    <r>
      <t xml:space="preserve">Доля многоквартирных домов, оснащенных </t>
    </r>
    <r>
      <rPr>
        <sz val="11"/>
        <color theme="1"/>
        <rFont val="Times New Roman"/>
        <family val="1"/>
        <charset val="204"/>
      </rPr>
      <t>системами дистанционного учета и контроля энергоресурсов и энергоэффективности</t>
    </r>
  </si>
  <si>
    <t xml:space="preserve">Наименование мероприятия </t>
  </si>
  <si>
    <t>ФБ</t>
  </si>
  <si>
    <t>КБ</t>
  </si>
  <si>
    <t>МБ</t>
  </si>
  <si>
    <t>ВБ</t>
  </si>
  <si>
    <t>1. Цель: повышение конкурентоспособности экономики города на основе широкого использования инновационных технологий</t>
  </si>
  <si>
    <t>Стратегическое направление "Современные высокотехнологичные производства"</t>
  </si>
  <si>
    <t>1.1.</t>
  </si>
  <si>
    <t>1.2.</t>
  </si>
  <si>
    <t>1.3.</t>
  </si>
  <si>
    <t>1.4.</t>
  </si>
  <si>
    <t xml:space="preserve">Техническое перевооружение производственных мощностей Красноярской ГРЭС-2  </t>
  </si>
  <si>
    <t>1.7.</t>
  </si>
  <si>
    <t>Формирование инвестиционного потенциала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Зеленогорска</t>
  </si>
  <si>
    <t>Организационное мероприятие</t>
  </si>
  <si>
    <t>Стратегическое направление "Предпринимательская активность"</t>
  </si>
  <si>
    <t>1.9.</t>
  </si>
  <si>
    <t>1.10.</t>
  </si>
  <si>
    <t>Актуализация перечня муниципального имущества и земельных участков, предоставляемых в аренду субъектам МСП на льготных условиях для организации и ведения предпринимательской деятельности</t>
  </si>
  <si>
    <t>1.11.</t>
  </si>
  <si>
    <t>1.12.</t>
  </si>
  <si>
    <t xml:space="preserve">Запуск акселерационных программ для начинающих предпринимателей и дальнейшее развитие системы акселерации субъектов МСП </t>
  </si>
  <si>
    <t>1.13.</t>
  </si>
  <si>
    <t>Запуск системы вовлечения жителей в предпринимательскую деятельность</t>
  </si>
  <si>
    <t>1.14.</t>
  </si>
  <si>
    <t>Расширение доступа субъектов МСП к закупкам товаров, работ, услуг организациями муниципального сектора экономики</t>
  </si>
  <si>
    <t>1.15.</t>
  </si>
  <si>
    <t xml:space="preserve">Организация содействия субъектам МСП по участию в городских выставочно-ярмарочных мероприятиях </t>
  </si>
  <si>
    <t>1.16.</t>
  </si>
  <si>
    <t>Совершенствование организационных форм содействия занятости населения с учетом специфических потребностей отдельных социально-демографических и профессионально-квалификационных категорий населения</t>
  </si>
  <si>
    <t>1.17.</t>
  </si>
  <si>
    <t>Содействие в организации общественных работ</t>
  </si>
  <si>
    <t>1.18.</t>
  </si>
  <si>
    <t>Содействие развитию самозанятости безработных граждан, в том числе через развитие малых форм хозяйствования – личных подсобных хозяйств, крестьянско-фермерских хозяйств</t>
  </si>
  <si>
    <t>1.19.</t>
  </si>
  <si>
    <t>Содействие занятости граждан, нуждающихся в социальной защите и не способных на равных условиях конкурировать на рынке труда</t>
  </si>
  <si>
    <t>1.20.</t>
  </si>
  <si>
    <t>Реализация мероприятий, направленных на профессиональную подготовку, повышение квалификации и переподготовку  населения</t>
  </si>
  <si>
    <t>1.21.</t>
  </si>
  <si>
    <t>Организация межведомственного взаимодействия по прогнозированию кадровой потребности, обеспечению выпуска специалистов, соответствующих перспективной потребности экономики города</t>
  </si>
  <si>
    <t>1.22.</t>
  </si>
  <si>
    <t>Привлечение и поддержка молодых специалистов</t>
  </si>
  <si>
    <t>1.23.</t>
  </si>
  <si>
    <t>1.24.</t>
  </si>
  <si>
    <t>Повышение профессионального уровня и конкурентоспособности населения</t>
  </si>
  <si>
    <t>1.24.1.</t>
  </si>
  <si>
    <t>1.24.2.</t>
  </si>
  <si>
    <t>1.24.3.</t>
  </si>
  <si>
    <t>1.24.4.</t>
  </si>
  <si>
    <t>1.24.5.</t>
  </si>
  <si>
    <t>МКУ "Комитет по делам культуры"</t>
  </si>
  <si>
    <t>1.24.6.</t>
  </si>
  <si>
    <t>МКУ "КФиС"</t>
  </si>
  <si>
    <t>1.24.7.</t>
  </si>
  <si>
    <t>1.24.8.</t>
  </si>
  <si>
    <t>2. Цель: эффективная капитализация расширяющихся возможностей самореализации различных групп населения на основе большей свободы выбора и ценностного самоопределения</t>
  </si>
  <si>
    <t>Стратегическое направление "Образованный город"</t>
  </si>
  <si>
    <t>2.1.</t>
  </si>
  <si>
    <t>Внедрение эффективных педагогических технологий, обновление содержания образования</t>
  </si>
  <si>
    <t>Развитие социального проектирования среди обучающихся</t>
  </si>
  <si>
    <t>2.3.</t>
  </si>
  <si>
    <t>Развитие новых систем оценки качества образовательных услуг</t>
  </si>
  <si>
    <t>2.4.</t>
  </si>
  <si>
    <t xml:space="preserve">Создание здоровьесохраняющей образовательной среды </t>
  </si>
  <si>
    <t>2.5.</t>
  </si>
  <si>
    <t>Развитие инклюзивного образования</t>
  </si>
  <si>
    <t>2.6.</t>
  </si>
  <si>
    <t>Развитие системы дополнительного образования</t>
  </si>
  <si>
    <t>2.7.</t>
  </si>
  <si>
    <t xml:space="preserve">Развитие системы участия обучающихся в мероприятиях для талантливых детей </t>
  </si>
  <si>
    <t>2.8.</t>
  </si>
  <si>
    <t>2.9.</t>
  </si>
  <si>
    <t>2.10.</t>
  </si>
  <si>
    <t xml:space="preserve">Ранняя профориентация, предпрофессиональная и профессиональная подготовка обучающихся </t>
  </si>
  <si>
    <t>2.10.1.</t>
  </si>
  <si>
    <t>2.10.2.</t>
  </si>
  <si>
    <t>2.11.</t>
  </si>
  <si>
    <t>Развитие сети муниципальных образовательных учреждений</t>
  </si>
  <si>
    <t>2.12.</t>
  </si>
  <si>
    <t>Создание безопасных и комфортных условий в образовательных  учреждениях</t>
  </si>
  <si>
    <t>2.12.1.</t>
  </si>
  <si>
    <t>2.12.2.</t>
  </si>
  <si>
    <t>2.13.</t>
  </si>
  <si>
    <t xml:space="preserve">Создание инновационных образовательных пространств, оснащённых современным оборудованием </t>
  </si>
  <si>
    <t>2.13.1.</t>
  </si>
  <si>
    <t>2.13.2.</t>
  </si>
  <si>
    <t>Стратегическое направление "Здоровый город"</t>
  </si>
  <si>
    <t>2.14.</t>
  </si>
  <si>
    <t xml:space="preserve">Проведение санитарно-просветительской работы по формированию у различных групп населения мотивации к здоровому образу жизни </t>
  </si>
  <si>
    <t>2.15.</t>
  </si>
  <si>
    <t>Развитие и совершенствование амбулаторно-поликлинического звена</t>
  </si>
  <si>
    <t>2.16.</t>
  </si>
  <si>
    <t>Повышение эффективности оказания специализированной медицинской помощи,  приоритетно направленной на снижение смертности от болезней системы кровообращения, новообразований</t>
  </si>
  <si>
    <t>2.17.</t>
  </si>
  <si>
    <t>Реализация мер, направленных на охрану здоровья матери и ребенка, улучшение здоровья подростков</t>
  </si>
  <si>
    <t>2.18.</t>
  </si>
  <si>
    <t xml:space="preserve">Обеспечение и совершенствование системы оказания реабилитационных услуг на базе физиотерапевтической поликлиники, в том числе путем организации гериатрической службы </t>
  </si>
  <si>
    <t>2.19.</t>
  </si>
  <si>
    <t>2.20.</t>
  </si>
  <si>
    <t xml:space="preserve">Организация и проведение массовых физкультурно-спортивных мероприятий </t>
  </si>
  <si>
    <t>2.21.</t>
  </si>
  <si>
    <t>Развитие физкультурно-спортивной работы в трудовых коллективах по месту работы,  в клубах по месту жительства граждан</t>
  </si>
  <si>
    <t>2.22.</t>
  </si>
  <si>
    <t>2.23.</t>
  </si>
  <si>
    <t>Пропаганда здорового образа жизни, популяризация физической культуры  и спорта среди различных групп населения</t>
  </si>
  <si>
    <t>2.24.</t>
  </si>
  <si>
    <t>Повышение качества предоставляемых населению физкультурно-спортивных услуг</t>
  </si>
  <si>
    <t>2.25.</t>
  </si>
  <si>
    <t>Создание условий, обеспечивающих возможность лицам с ограниченными возможностями здоровья и инвалидам,  заниматься физической культурой и спортом</t>
  </si>
  <si>
    <t>2.26.</t>
  </si>
  <si>
    <t xml:space="preserve">Создание условий для повышения эффективности и уровня подготовки спортивного резерва </t>
  </si>
  <si>
    <t>2.27.</t>
  </si>
  <si>
    <t>Строительство универсального спортивного зала с искусственным льдом и трибунами для зрителей</t>
  </si>
  <si>
    <t>2.28.</t>
  </si>
  <si>
    <t xml:space="preserve">Устройство плоскостных спортивных сооружений и обустройство рекреационных зон </t>
  </si>
  <si>
    <t>2.29.</t>
  </si>
  <si>
    <t>Капитальный ремонт объектов физической культуры и спорта</t>
  </si>
  <si>
    <t>2.30.</t>
  </si>
  <si>
    <t>Создание устойчивого культурного образа города Зеленогорска как территории культурных традиций и творческих инноваций, в том числе:</t>
  </si>
  <si>
    <t>2.30.1.</t>
  </si>
  <si>
    <t>Обеспечение доступности лучших образцов отечественного профессионального искусства в культурной жизни города</t>
  </si>
  <si>
    <t>2.30.2.</t>
  </si>
  <si>
    <t>Продвижение культуры города за его пределами в форме гастролей, участия в конкурсах, выставках, фестивалях</t>
  </si>
  <si>
    <t>2.31.</t>
  </si>
  <si>
    <t>Развитие культурно-познавательного туризма, вовлечение историко-культурного потенциала города в систему туристских потоков</t>
  </si>
  <si>
    <t>2.32.</t>
  </si>
  <si>
    <t>Обеспечение доступности качественного дополнительного предпрофессионального образования в сфере культуры и искусства, поддержка одаренных детей</t>
  </si>
  <si>
    <t>2.33.</t>
  </si>
  <si>
    <t>Сохранение и развитие культурного наследия города</t>
  </si>
  <si>
    <t>2.34.</t>
  </si>
  <si>
    <t>Развитие деятельности природного зоологического парка</t>
  </si>
  <si>
    <t>2.35.</t>
  </si>
  <si>
    <t xml:space="preserve">Сохранение и популяризация народной культуры </t>
  </si>
  <si>
    <t>2.36.</t>
  </si>
  <si>
    <t>2.37.</t>
  </si>
  <si>
    <t xml:space="preserve">Организация и проведение общегородских культурно-досуговых мероприятий </t>
  </si>
  <si>
    <t>2.39.</t>
  </si>
  <si>
    <t>2.40.</t>
  </si>
  <si>
    <t>Капитальный ремонт учреждений культуры</t>
  </si>
  <si>
    <t>2.41.</t>
  </si>
  <si>
    <t>Оснащение учреждений культуры оборудованием и инвентарем для организации и проведения культурных мероприятий</t>
  </si>
  <si>
    <t>Стратегическое направление "Активный город"</t>
  </si>
  <si>
    <t>2.42.</t>
  </si>
  <si>
    <t>2.43.</t>
  </si>
  <si>
    <t>Оказание информационной, методической поддержки Общественной палате г. Зеленогорска</t>
  </si>
  <si>
    <t>2.44.</t>
  </si>
  <si>
    <t xml:space="preserve">Расширение сферы применения информационно-коммуникационных технологий </t>
  </si>
  <si>
    <t>2.44.1.</t>
  </si>
  <si>
    <t>2.44.2.</t>
  </si>
  <si>
    <t>2.44.3.</t>
  </si>
  <si>
    <t>2.46.</t>
  </si>
  <si>
    <t>Организация совместных мероприятий с представителями институтов гражданского общества</t>
  </si>
  <si>
    <t>2.47.</t>
  </si>
  <si>
    <t>Возрождение меценатства и благотворительности</t>
  </si>
  <si>
    <t>2.48.</t>
  </si>
  <si>
    <t xml:space="preserve">Создание эффективной системы противодействия коррупции в деятельности  органов местного самоуправления 
г. Зеленогорска, муниципальных учреждений и предприятий г. Зеленогорска, обеспечение защиты прав и законных интересов граждан и общества от проявлений коррупции
</t>
  </si>
  <si>
    <t>2.49.</t>
  </si>
  <si>
    <t xml:space="preserve">Обеспечение информационной открытости деятельности органов местного самоуправления  г. Зеленогорска и повышения степени информированности населения и организаций о деятельности и решениях органов местного самоуправления г. Зеленогорска </t>
  </si>
  <si>
    <t>2.50.</t>
  </si>
  <si>
    <t>2.51.</t>
  </si>
  <si>
    <t>2.52.</t>
  </si>
  <si>
    <t>2.53.</t>
  </si>
  <si>
    <t>2.54.</t>
  </si>
  <si>
    <t>2.55.</t>
  </si>
  <si>
    <t>2.56.</t>
  </si>
  <si>
    <t>Развитие добровольческого движения среди молодежи</t>
  </si>
  <si>
    <t>3. Цель: непрерывный рост качества жизни населения по стандартам, сформированным на основе освоения передовых эффективных практик комфортной и безопасной жизнедеятельности</t>
  </si>
  <si>
    <t>Стратегическое направление "Комфортный город"</t>
  </si>
  <si>
    <t>3.1.</t>
  </si>
  <si>
    <t>Реконструкция существующих сетей водоснабжения на улицах Овражная и Партизанская города Зеленогорска</t>
  </si>
  <si>
    <t>3.2.</t>
  </si>
  <si>
    <t>Строительство хозяйственно-питьевого водопровода в поселке индивидуальных застройщиков на 1000 дворов (кварталы № 9-12)</t>
  </si>
  <si>
    <t>3.6.</t>
  </si>
  <si>
    <t xml:space="preserve">Реконструкция, модернизация и ремонт объектов коммунальной инфраструктуры города </t>
  </si>
  <si>
    <t>3.7.</t>
  </si>
  <si>
    <t>Реконструкция, модернизация и ремонт систем электроснабжения
города Зеленогорска</t>
  </si>
  <si>
    <t>3.8.</t>
  </si>
  <si>
    <t>Строительство второй (резервной) линии внешнего электроснабжения города Зеленогорска</t>
  </si>
  <si>
    <t>3.9.</t>
  </si>
  <si>
    <t>Строительство уличного освещения города</t>
  </si>
  <si>
    <t>3.10.</t>
  </si>
  <si>
    <t>Капитальный ремонт многоквартирных домов</t>
  </si>
  <si>
    <t>3.12.</t>
  </si>
  <si>
    <t>Строительство автомобильных дорог общего пользования местного значения города Зеленогорска</t>
  </si>
  <si>
    <t>3.13.</t>
  </si>
  <si>
    <t xml:space="preserve">Капитальный ремонт и ремонт автомобильных дорог общего пользования </t>
  </si>
  <si>
    <t>3.14.</t>
  </si>
  <si>
    <t xml:space="preserve">Обновление подвижного состава пассажирского автомобильного транспорта </t>
  </si>
  <si>
    <t>3.15.</t>
  </si>
  <si>
    <t>Внедрение стандартов качества представления транспортных услуг</t>
  </si>
  <si>
    <t>3.16.</t>
  </si>
  <si>
    <t>Актуализация Генерального плана города Зеленогорска</t>
  </si>
  <si>
    <t>3.20.</t>
  </si>
  <si>
    <t>Актуализация схемы размещения рекламных конструкций на территории  города</t>
  </si>
  <si>
    <t>3.21.</t>
  </si>
  <si>
    <t>Создание условий для развития жилищного строительства</t>
  </si>
  <si>
    <t>3.22.</t>
  </si>
  <si>
    <t>Создание современной прогулочной зоны на набережной реки Кан</t>
  </si>
  <si>
    <t>3.23.</t>
  </si>
  <si>
    <t>Обустройство общественных пространств</t>
  </si>
  <si>
    <t>3.25.</t>
  </si>
  <si>
    <t xml:space="preserve">Благоустройство дворовых территорий </t>
  </si>
  <si>
    <t>3.27.</t>
  </si>
  <si>
    <t>Инициализация мероприятий по признанию ветхими многоквартирных деревянных домов, расположенных на улицах Мира, Калинина, Комсомольская, Первомайская, Гоголя (кварталы № 4, № 8)</t>
  </si>
  <si>
    <t>3.28.</t>
  </si>
  <si>
    <t>Стратегическое направление "Безопасный город"</t>
  </si>
  <si>
    <t>3.29.</t>
  </si>
  <si>
    <t>Совершенствование механизмов взаимодействия организаций города при обеспечении особого режима безопасного функционирования объектов, расположенных на территории ЗАТО Зеленогорск</t>
  </si>
  <si>
    <t>3.30.</t>
  </si>
  <si>
    <t>Формирование у населения основ противодействия идеологии терроризма и готовности к действиям в условиях вероятного совершения террористического акта</t>
  </si>
  <si>
    <t>3.31.</t>
  </si>
  <si>
    <t>Совершенствование уровня антитеррористической защищенности объектов инфраструктуры и жизнеобеспечения, мест массового пребывания людей от террористических посягательств</t>
  </si>
  <si>
    <t>3.32.</t>
  </si>
  <si>
    <t>3.33.</t>
  </si>
  <si>
    <t>Профилактика правонарушений</t>
  </si>
  <si>
    <t>3.33.1.</t>
  </si>
  <si>
    <t>3.33.2.</t>
  </si>
  <si>
    <t>3.33.3.</t>
  </si>
  <si>
    <t>МКУ "Служба ГО и ЧС"</t>
  </si>
  <si>
    <t>3.34.</t>
  </si>
  <si>
    <t>Повышение уровня безопасности дорожного движения и транспортной безопасности</t>
  </si>
  <si>
    <t>3.35.</t>
  </si>
  <si>
    <t>Организация и выполнение промышленными предприятиями города организационно-технических мероприятий по охране окружающей среды</t>
  </si>
  <si>
    <t>3.35.1.</t>
  </si>
  <si>
    <t>3.35.2.</t>
  </si>
  <si>
    <t>3.35.4.</t>
  </si>
  <si>
    <t xml:space="preserve">Организация и выполнение промышленными предприятиями города организационно-технических мероприятий по охране окружающей среды </t>
  </si>
  <si>
    <t>3.36.</t>
  </si>
  <si>
    <t>Сохранение водных биологических ресурсов</t>
  </si>
  <si>
    <t>3.36.1.</t>
  </si>
  <si>
    <t>3.36.2.</t>
  </si>
  <si>
    <t>3.36.3.</t>
  </si>
  <si>
    <t xml:space="preserve">Реконструкция и модернизация городских очистных сооружений с внедрением АСУТП очистки сточных вод (2022 – 2028), в том числе разработка проекта по реконструкции и модернизации очистных сооружений (2019 – 2021)  </t>
  </si>
  <si>
    <t>3.37.</t>
  </si>
  <si>
    <t>Строительство третьей очереди полигона твёрдых бытовых отходов</t>
  </si>
  <si>
    <t>3.37.1.</t>
  </si>
  <si>
    <t xml:space="preserve">Строительство третьей очереди полигона твёрдых бытовых отходов </t>
  </si>
  <si>
    <t>3.37.2.</t>
  </si>
  <si>
    <t>Размещение мусоросортировочного комплекса мощностью не менее 40,0 тыс. тонн в год</t>
  </si>
  <si>
    <t>3.38.</t>
  </si>
  <si>
    <t>Выявление несанкционированных свалок бытовых отходов и мусора на землях общего пользования, контроль и организация работы по их ликвидации</t>
  </si>
  <si>
    <t>3.39.</t>
  </si>
  <si>
    <t>Организация процессов утилизации ртутьсодержащих отходов</t>
  </si>
  <si>
    <t>3.40.</t>
  </si>
  <si>
    <t>Внедрение системы экологического мониторинга</t>
  </si>
  <si>
    <t>3.40.1.</t>
  </si>
  <si>
    <t>Создание автоматизированного поста наблюдения за загрязнением атмосферного воздуха</t>
  </si>
  <si>
    <t>3.40.2.</t>
  </si>
  <si>
    <t>3.41.</t>
  </si>
  <si>
    <t>Организация системной работы по экологическому просвещению населения</t>
  </si>
  <si>
    <t>3.41.1.</t>
  </si>
  <si>
    <t>3.41.2.</t>
  </si>
  <si>
    <t>Реализация проектов и акций экологической направленности</t>
  </si>
  <si>
    <t>3.41.3.</t>
  </si>
  <si>
    <t>Привлечение общественности к участию в разработке и принятии решений по вопросам экологии, подготовке предложений по охране окружающей среды в рамках деятельности общественного совета по охране окружающей среды в г. Зеленогорске</t>
  </si>
  <si>
    <t>3.42.</t>
  </si>
  <si>
    <t>Повышение надежности объектов и сооружений в паводкоопасный период</t>
  </si>
  <si>
    <t>3.43.</t>
  </si>
  <si>
    <t>Создание эффективной системы предупреждения пожаров на территории города</t>
  </si>
  <si>
    <t>3.44.</t>
  </si>
  <si>
    <t>3.45.</t>
  </si>
  <si>
    <t>Совершенствование механизмов взаимодействия территориальных органов управления г. Зеленогорска, организаций, отнесенных к опасным производственным объектам, и сил единой государственной системы предупреждения и ликвидации чрезвычайных ситуаций (далее – ЧС)</t>
  </si>
  <si>
    <t>3.46.</t>
  </si>
  <si>
    <t>Предоставление гражданам мер социальной поддержки с применением принципов адресности и критериев нуждаемости</t>
  </si>
  <si>
    <t>3.47.</t>
  </si>
  <si>
    <t>Внедрение социального контракта</t>
  </si>
  <si>
    <t>3.48.</t>
  </si>
  <si>
    <t xml:space="preserve">Повышение уровня доступности  объектов и услуг в приоритетных сферах жизнедеятельности инвалидов и других маломобильных групп населения </t>
  </si>
  <si>
    <t>3.48.1.</t>
  </si>
  <si>
    <t>3.48.2.</t>
  </si>
  <si>
    <t>3.48.3.</t>
  </si>
  <si>
    <t>3.48.4.</t>
  </si>
  <si>
    <t>3.48.5.</t>
  </si>
  <si>
    <t>Учреждения социальной защиты населения</t>
  </si>
  <si>
    <t>3.49.</t>
  </si>
  <si>
    <t>Совершенствование системы предоставления гражданам социальных услуг организациями социального обслуживания населения</t>
  </si>
  <si>
    <t>3.50.</t>
  </si>
  <si>
    <t>Развитие форм и методов реабилитации инвалидов, в том числе детей-инвалидов, проживающих в семьях</t>
  </si>
  <si>
    <t>3.51.</t>
  </si>
  <si>
    <t>Внедрение системы автоматизированного контроля и учета потребления ресурсов в муниципальных бюджетных учреждениях</t>
  </si>
  <si>
    <t>3.52.</t>
  </si>
  <si>
    <t>Установка автоматизированной системы передачи данных контроля, мониторинга и прогнозирования состояния объектов электроснабжения города на пульт управления оперативно-диспетчерской службы (ОДС)</t>
  </si>
  <si>
    <t>3.53.</t>
  </si>
  <si>
    <t>3.54.</t>
  </si>
  <si>
    <t>Внедрение и расширение дистанционных сервисов для жителей управляющими компаниями</t>
  </si>
  <si>
    <t>3.55.</t>
  </si>
  <si>
    <t>3.57.</t>
  </si>
  <si>
    <t xml:space="preserve">Первый заместитель </t>
  </si>
  <si>
    <t>Главы ЗАТО г. Зеленогорск</t>
  </si>
  <si>
    <t>по стратегическому планированию,</t>
  </si>
  <si>
    <t>экономическому развитию и финансам</t>
  </si>
  <si>
    <t>М.В. Налобина</t>
  </si>
  <si>
    <t>План</t>
  </si>
  <si>
    <t>Факт</t>
  </si>
  <si>
    <t xml:space="preserve">60 965,2 </t>
  </si>
  <si>
    <t xml:space="preserve">- учреждения культуры </t>
  </si>
  <si>
    <t xml:space="preserve">- учреждения физкультуры и спорта </t>
  </si>
  <si>
    <t xml:space="preserve">- учреждения социальной защиты населения </t>
  </si>
  <si>
    <t xml:space="preserve">Источник финансового обеспечения 
(с указанием программы, в рамках которой осуществляется финансирование) </t>
  </si>
  <si>
    <t>Информация об объемах и источниках финансирования мероприятий Плана мероприятий по реализации 
Стратегии социально-экономического развития города Зеленогорска на период до 2030 года за 2024 год</t>
  </si>
  <si>
    <t>Фактический объем финансирования (тыс. руб.)</t>
  </si>
  <si>
    <t>Стратегическое направление "Рынок труда"</t>
  </si>
  <si>
    <t>Задача: содействие занятости населения</t>
  </si>
  <si>
    <t>Задача: удовлетворение потребности экономики в кадрах</t>
  </si>
  <si>
    <t>Стратегическое направление "Доступный город"</t>
  </si>
  <si>
    <t>Задача: повышение качества и доступности предоставления социальных услуг гражданам пожилого возраста, инвалидам, включая детей-инвалидов, семей и детей в сфере социального обслуживания</t>
  </si>
  <si>
    <t>Задача: укрепление позиций АО "ПО ЭХЗ" на российском и мировом рынках производства ядерной продукции</t>
  </si>
  <si>
    <t>Задача: обеспечение динамичного роста объемов производства продукции, увеличение фондоотдачи используемых ресурсов</t>
  </si>
  <si>
    <t>Задача: стимулирование инвестиционной активности</t>
  </si>
  <si>
    <t>Задача: совершенствование системы финансовой и имущественной поддержки малого и среднего предпринимательства</t>
  </si>
  <si>
    <t>Задача: оказание организационной, методической, консультационной помощи и информационных услуг субъектам малого и среднего предпринимательства</t>
  </si>
  <si>
    <t>Создание "Агентства городского развития"</t>
  </si>
  <si>
    <t>Задача: содействие в продвижении производимых товаров (работ, услуг) субъектов малого и среднего предпринимательства на товарные рынки</t>
  </si>
  <si>
    <t>Задача: совершенствование кадрового потенциала</t>
  </si>
  <si>
    <t>Задача: создание условий для обеспечения нового качества образования в интересах инновационного, социально-ориентированного развития города, края, страны</t>
  </si>
  <si>
    <t>Задача: создание условий для сохранения здоровья детей и успешной социализации детей с ограниченными возможностями здоровья</t>
  </si>
  <si>
    <t>Задача: выявление, адресное сопровождение и поддержка одарённых детей</t>
  </si>
  <si>
    <t xml:space="preserve">Задача: формирование новой технологической среды в системе образования </t>
  </si>
  <si>
    <t>Реализация муниципального сетевого проекта "Школьный технопарк"</t>
  </si>
  <si>
    <t>Реализация программы  прикладной инженерии "Агентство прогрессивных решений"</t>
  </si>
  <si>
    <t>Управление образования Администрации ЗАТО г. Зеленогорск</t>
  </si>
  <si>
    <t xml:space="preserve">КГБПОУ "Зеленогорский техникум промышленных технологий и сервиса" 
 </t>
  </si>
  <si>
    <t>Филиал ФГБУ ФСНКЦ ФМБА России КБ № 42</t>
  </si>
  <si>
    <t xml:space="preserve">КГБПОУ "Зеленогорский техникум промышленных технологий и сервиса" </t>
  </si>
  <si>
    <t>Филиал АО "Енисейская ТГК (ТГК-13)" - "Красноярская ГРЭС-2"</t>
  </si>
  <si>
    <t>Задача: совершенствование инфраструктуры городской системы образования и модернизация материально-технической базы учреждений</t>
  </si>
  <si>
    <t>Задача: популяризация программ здорового образа жизни и формирование идеологии ответственности за свое здоровье</t>
  </si>
  <si>
    <t>Задача: обеспечение высокотехнологичной качественной и доступной медицинской помощи</t>
  </si>
  <si>
    <t>Задача: совершенствование методов медицинской реабилитации, формирование эффективной системы восстановления здоровья</t>
  </si>
  <si>
    <t>Задача: вовлечение жителей близлежащих районов в систему здоровьесбережения</t>
  </si>
  <si>
    <t>Оказание медицинской помощи населению Рыбинского, Уярского, Саянского, Партизанского районов, г. Бородино на базе первичного сосудистого отделения филиала Федерального государственного бюджетного учреждения "Федеральный Сибирский научно-клинический центр Федерального медико-биологического агентства" - "Клиническая больница № 42"</t>
  </si>
  <si>
    <t>Задача: вовлечение жителей города в занятия физической культурой и спортом</t>
  </si>
  <si>
    <t>Задача: развитие адаптивной физической культуры и спорта</t>
  </si>
  <si>
    <t>Задача: совершенствование системы подготовки спортивного резерва</t>
  </si>
  <si>
    <t>Задача: совершенствование городской инфраструктуры физической культуры и спорта</t>
  </si>
  <si>
    <t>Стратегическое направление "Творческий город"</t>
  </si>
  <si>
    <t>Задача: формирование культурной идентичности города</t>
  </si>
  <si>
    <t>Задача: продвижение культурных ценностей и услуг на основании запросов людей, живущих в Зеленогорске</t>
  </si>
  <si>
    <t>Задача: укрепление единого культурного пространства на основе межведомственного взаимодействия</t>
  </si>
  <si>
    <t>Организация и реализация  социокультурного проекта "Дом ремесел", направленного на сохранение традиций и развитие русского традиционного художественного творчества, возрождение народных художественных промыслов и ремесел</t>
  </si>
  <si>
    <t>Задача: развитие инфраструктуры отрасли "культура"</t>
  </si>
  <si>
    <t>Задача: содействие созданию и развитию деятельности некоммерческих организаций самоуправления граждан</t>
  </si>
  <si>
    <t>Задача: формирование развивающего и мотивирующего социальную активность информационного пространства</t>
  </si>
  <si>
    <t>Задача: эффективное взаимодействие органов местного самоуправления с институтами гражданского общества</t>
  </si>
  <si>
    <t>Задача: улучшение условий для успешной социализации и эффективной самореализации молодёжи</t>
  </si>
  <si>
    <t>Организация и проведение "Изумрудной лиги КВН"</t>
  </si>
  <si>
    <t>Задача: приведение городской коммунальной инфраструктуры в соответствие с современными требованиями надежности, качества и энергоэффективности</t>
  </si>
  <si>
    <t>Задача: воспроизводство жилищного фонда</t>
  </si>
  <si>
    <t>Задача: строительство новых и реконструкция существующих объектов дорожной инфраструктуры</t>
  </si>
  <si>
    <t>Задача: совершенствование процесса управления транспортными потоками  и повышение качества предоставляемых транспортных услуг</t>
  </si>
  <si>
    <t>Задача: актуализация документов территориального планирования</t>
  </si>
  <si>
    <t>Задача: осуществление функциональной и эстетичной организации пространства</t>
  </si>
  <si>
    <t>Задача: улучшение фасадов зданий, строений и сооружений</t>
  </si>
  <si>
    <t>Задача: укрепление режима безопасного функционирования объектов повышенного риска и объектов систем жизнеобеспечения населения</t>
  </si>
  <si>
    <t>Задача: укрепление основ правопорядка и безопасной жизнедеятельности населения</t>
  </si>
  <si>
    <t>Внедрение и дальнейшее развитие аппаратно-программного комплекса "Безопасный город" (АПК "Безопасный город")</t>
  </si>
  <si>
    <t>Задача: предотвращение и снижение существующего негативного воздействия на окружающую среду и здоровье населения</t>
  </si>
  <si>
    <t>Компенсации ущерба, нанесенного водным биологическим ресурсам в результате производственной деятельности филиала ПАО "ОГК-2" Красноярская ГРЭС-2</t>
  </si>
  <si>
    <t>Реконструкция рыбозащитного сооружения на водозаборе филиала ПАО "ОГК-2" Красноярская ГРЭС-2</t>
  </si>
  <si>
    <t>Задача: организация комплексного мониторинга экологического состояния окружающей среды на территории города</t>
  </si>
  <si>
    <t>Задача: формирование экологической культуры населения, развитие экологического образования и воспитания</t>
  </si>
  <si>
    <t>Информирование населения о принятых нормативных правовых актах Российской Федерации, Красноярского края, муниципальных правовых актах г. Зеленогорска в области охраны окружающей среды, о состоянии окружающей среды на территории города</t>
  </si>
  <si>
    <t>Задача: предупреждение возникновения чрезвычайных ситуаций</t>
  </si>
  <si>
    <t>Задача: обеспечение комплексного взаимодействия с организациями, осуществляющими деятельность на потенциально опасных объектах</t>
  </si>
  <si>
    <t>Стратегическое направление "Умный город"</t>
  </si>
  <si>
    <t xml:space="preserve">Задача: автоматизированный коммерческий контроль, учет энергоресурсов и электроэнергии </t>
  </si>
  <si>
    <t>Задача: расширение электронных сервисов для населения</t>
  </si>
  <si>
    <t>Развитие автоматизированной системы оплаты проезда на городском пассажирском транспорте "Транспортной карты"</t>
  </si>
  <si>
    <t>Реализация проекта "Автоматизация образовательных учреждений"</t>
  </si>
  <si>
    <t>Задача: внедрение информационных технологий в систему управления жизнедеятельностью города</t>
  </si>
  <si>
    <t>Актуализация информации, формируемой в процессе планирования и исполнения местного бюджета, в автоматизированной информационной системе, обеспечивающей формирование "Бюджета для граждан"</t>
  </si>
  <si>
    <t>Высокие стандарты качества жизни</t>
  </si>
  <si>
    <t>3</t>
  </si>
  <si>
    <t>4</t>
  </si>
  <si>
    <t xml:space="preserve">по стратегическому планированию, </t>
  </si>
  <si>
    <t xml:space="preserve"> I Динамика показателей Стратегии социально-экономического развития города Зеленогорска на период до 2030 года</t>
  </si>
  <si>
    <t>по состоянию на 01.01.2025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</si>
  <si>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</si>
  <si>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</si>
  <si>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</si>
  <si>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</si>
  <si>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</si>
  <si>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</si>
  <si>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</si>
  <si>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</si>
  <si>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</si>
  <si>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Отклонение, %</t>
  </si>
  <si>
    <t>Отдел городского хозяйства Администрации ЗАТО г. Зеленогорск</t>
  </si>
  <si>
    <t>Внедрение новых образовательных программ подготовки кадров по ТОП-50 и актуализация содержания реализуемых программ в соответсвии с профессиональными стандартами, стандартами WorldskillsRussia ((WSR) Союз "Молодые профессионалы (Ворлдскиллс Россия)" официальный оператор международного некоммерческого движения WorldSkills International, миссия которого – повышение стандартов подготовки кадров)</t>
  </si>
  <si>
    <t>Государственная программа Красноярского края "Содействие занятости населения".</t>
  </si>
  <si>
    <t xml:space="preserve">Государственная программа Красноярского края "Развитие образования".    </t>
  </si>
  <si>
    <t xml:space="preserve">Внебюджетные источники (средства от платной деятельности КГБПОУ "Зеленогорский техникум промышленных технологий и сервиса").                                                                                                                                                                        </t>
  </si>
  <si>
    <t>Государственная программа Красноярского края "Развитие образования".</t>
  </si>
  <si>
    <t>Государственная программа Красноярского края "Развитие системы социальной поддержки граждан".</t>
  </si>
  <si>
    <t>Внебюджетные источники (средства от платной деятельности КГБУ СО "КЦСОН "Зеленогорский").</t>
  </si>
  <si>
    <t>Подготовка и утверждение проектов планировки и межевания территорий город</t>
  </si>
  <si>
    <t>3.19.</t>
  </si>
  <si>
    <t>3.26.</t>
  </si>
  <si>
    <t>Разработка местных норм по размещению вывесок и внешнему виду фасадов зданий, строений и сооружений</t>
  </si>
  <si>
    <t>Внебюджетные источники (средства МУП ЭС).</t>
  </si>
  <si>
    <t xml:space="preserve">1. Государственная программа Красноярского края "Развитие образования";
2. Внебюджетные источники (средства от платной деятельности КГБПОУ "Зеленогорский техникум промышленных технологий и сервиса"). </t>
  </si>
  <si>
    <t>1. Государственная программа Красноярского края "Реформирование и модернизация жилищно-коммунального хозяйства и повышение энергетической эффективности"; 
2. Муниципальная программа "Капитальное строительство и капитальный ремонт в городе Зеленогорске";  
3. Внебюджетные источники (средства МУП ТС).</t>
  </si>
  <si>
    <t>1. Государственная программа Красноярского края "Развитие транспортной системы";
2. Муниципальная программа "Развитие транспортной системы в городе Зеленогорске;
3. Муниципальная программа "Капитальное строительство и капитальный ремонт в городе Зеленогорске";
4. Муниципальная программа "Реформирование и модернизация жилищно-коммунального хозяйства и повышение энергетической эффективности".</t>
  </si>
  <si>
    <t>1. Региональная программа капитального ремонта общего имущества в многоквартирных домах, расположенных на территории Красноярского края, на период с 2014-2043 годы;
2. Муниципальная программа "Капитальное строительство и капитальный ремонт в городе Зеленогорске";
3. Внебюджетные источники (средства собственников помещений в многоквартирных домах, благотворительные средства АО "ТВЭЛ").</t>
  </si>
  <si>
    <t>1. Муниципальная программа "Развитие транспортной системы в городе Зеленогорске";
2. Внебюджетные источники (благотворительные средства АО "ТВЭЛ").</t>
  </si>
  <si>
    <t>1. Государственная программа Красноярского края "Развитие транспортной системы";
2. Муниципальная программа "Развитие транспортной системы в городе Зеленогорске".</t>
  </si>
  <si>
    <t xml:space="preserve"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Зеленогорске". </t>
  </si>
  <si>
    <t xml:space="preserve">Внебюджетные источники (средства филиала АО "Енисейская ТГК (ТГК-13)" - "Красноярская ГРЭС-2").
</t>
  </si>
  <si>
    <t>Внебюджетные источники (средства филиала АО "Енисейская ТГК (ТГК-13)" - "Красноярская ГРЭС-2" в рамках программы технического перевооружения и реконструкции на 2024 год).</t>
  </si>
  <si>
    <t>Внебюджетные источники (средства МУП ТС).</t>
  </si>
  <si>
    <t>1. Государственная программа Красноярского края "Охрана окружающей среды, воспроизводство природных ресурсов"; 
2. Муниципальная программа "Охрана окружающей среды и защита городских лесов на территории города Зеленогорска".</t>
  </si>
  <si>
    <t>1. Государственная программа Красноярского края "Содействие органам местного самоуправления в формировании современной городской среды"; 
2. Муниципальная программа "Формирование современной городской среды в городе Зеленогорске";
3. Внебюджетные источники (средства собственников в многоквартирных домах).</t>
  </si>
  <si>
    <t xml:space="preserve">Муниципальная программа "Охрана окружающей среды и защита городских лесов на территории города Зеленогорска". </t>
  </si>
  <si>
    <t>1. Государственная программа "Охрана окружающей среды, воспроизводство природных ресурсов";
2. Муниципальная программа "Капитальное строительство и капитальный ремонт в городе Зеленогорске";  
3. Муниципальная программа "Защита населения и территории города Зеленогорска от чрезвычайных ситуаций природного и техногенного характера".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</si>
  <si>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характера".</t>
  </si>
  <si>
    <t>Задача: совершенствование системы социальной поддержки отдельных категорий граждан и семей с детьми путем усиления адресного подхода и принципа нуждаемости</t>
  </si>
  <si>
    <t>Задача: приспособление существующих объектов социальной, инженерной и транспортной инфраструктур с учетом потребностей маломобильных групп населения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</si>
  <si>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Зеленогорск, публичные нормативные обязательства (Администрация ЗАТО г. Зеленогорск).</t>
  </si>
  <si>
    <t>Внебюджетные источники (средства АО "Зеленогорское АТП").</t>
  </si>
  <si>
    <t>2.12.3.</t>
  </si>
  <si>
    <t>1. Государственная программа Красноярского края "Содействие развитию местного самоуправления"; 
2. Муниципальная программа "Капитальное строительство и капитальный ремонт в городе Зеленогорске".</t>
  </si>
  <si>
    <t>Муниципальная программа "Капитальное строительство и капитальный ремонт в городе Зеленогорске".</t>
  </si>
  <si>
    <t>1. Государственная программа Красноярского края "Развитие физической культуры и спорта";
2. Муниципальная программа "Капитальное строительство и капитальный ремонт в городе Зеленогорске".</t>
  </si>
  <si>
    <t>Муниципальная программа "Обеспечение безопасности населения города Зеленогорска".</t>
  </si>
  <si>
    <t>1. Государственная программа Красноярского края "Развитие образования";
2. Муниципальная программа "Обеспечение безопасности населения города Зеленогорска".</t>
  </si>
  <si>
    <t>Развитие и укрепление Единой дежурной диспетчерской службы города Зеленогорска (далее – ЕДДС), аварийно-диспетчерских и экстренных служб организаций города, внедрение на территории города "Системы 112"</t>
  </si>
  <si>
    <t xml:space="preserve">Внебюджетные источники (средства филиала АО "Енисейская ТГК (ТГК-13)" - "Красноярская ГРЭС-2"). 
</t>
  </si>
  <si>
    <t xml:space="preserve">Расширение доступа субъектов малого и среднего предпринимательства (далее – субъекты МСП) к финансовым ресурсам, в том числе льготному финансированию
</t>
  </si>
  <si>
    <t xml:space="preserve">1. Государственная программа Красноярского края "Развитие образования";    
2. Муниципальная программа "Развитие образования в городе Зеленогорске". </t>
  </si>
  <si>
    <t>Внебюджетные источники (благотворительные средства АО "ПО ЭХЗ").</t>
  </si>
  <si>
    <t>Внебюджетные источники (благотворительные средства АО "ТВЭЛ", АО "ПО ЭХЗ").</t>
  </si>
  <si>
    <t>Внебюджетные источники (средства АО "ПО ЭХЗ").</t>
  </si>
  <si>
    <t>Внебюджетные источники (благотворительные средства Госкорпорации "Росатом").</t>
  </si>
  <si>
    <t>Муниципальная программа "Развитие культуры города Зеленогорска".</t>
  </si>
  <si>
    <t xml:space="preserve">1. Государственная программа Красноярского края "Развитие культуры и туризма";
2. Муниципальная программа "Развитие культуры города Зеленогорска". </t>
  </si>
  <si>
    <t>Приведение в соответствие с Положением о порядке установки и эксплуатации нестационарных торговых объектов на территории города Зеленогорска и Правилами установки и эксплуатации рекламных конструкций на территории города Зеленогорска (далее – Положение и Правила), утвержденных решениями Совета депутатов ЗАТО г. Зеленогорска, нестационарных торговых объектов, рекламных конструкций и вывесок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</si>
  <si>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(далее – ГТО) среди различных групп населения</t>
  </si>
  <si>
    <t>Обеспечение условий доступности культурных благ для  инвалидов и лиц с ограниченными возможностями здоровья (далее – лиц с ОВЗ) в учреждениях культуры и включение их в творческую деятельность</t>
  </si>
  <si>
    <t>Обеспечение деятельности Ресурсного центра поддержки социально ориентированных некоммерческих организаций города (далее – СО НКО)</t>
  </si>
  <si>
    <t>Внебюджетные средства (добровольные пожертвования физических лиц).</t>
  </si>
  <si>
    <t>Государственная программа Красноярского края "Молодежь Красноярского края в XXI веке".</t>
  </si>
  <si>
    <t>Реализация проекта "Трудовые отряды Главы ЗАТО г. Зеленогорска"</t>
  </si>
  <si>
    <t xml:space="preserve">Муниципальная программа "Развитие молодежной политики города Зеленогорска". </t>
  </si>
  <si>
    <t>Реализация краевых флагманских программ молодежной политики</t>
  </si>
  <si>
    <t xml:space="preserve">Государственная программа Красноярского края "Молодежь Красноярского края в XXI веке".                                                                              </t>
  </si>
  <si>
    <t>Реализация инфраструктурных проектов молодежной политики</t>
  </si>
  <si>
    <t>Реализация мероприятий по профилактике негативных проявлений в молодежной среде</t>
  </si>
  <si>
    <t>1. Государственная программа Красноярского края "Молодежь Красноярского края в XXI веке";
2. Муниципальная программа "Развитие молодежной политики города Зеленогорска".</t>
  </si>
  <si>
    <t xml:space="preserve">1. Государственная программа Красноярского края "Развитие культуры и туризма";
2. Внебюджетные источники (средства от платной деятельности МБУ "Зоопарк").                     </t>
  </si>
  <si>
    <t xml:space="preserve">1. Государственная программа Красноярского края "Развитие культуры и туризма"; 
2. Госудаственная программа Красноярского края "Молодежь Красноярского края в XXI веке";   
3. Муниципальная программа "Развитие культуры города Зеленогорска";
4. Внебюджетные источники (средства от платной деятельности МКУ "Комитет по делам культуры"). </t>
  </si>
  <si>
    <t>1. Муниципальная программа "Развитие физической культуры и спорта в городе Зеленогорске"; 
2. Внебюджетные источники (средства от платной деятельности МБУ, находящихся в ведении МКУ "КФиС").</t>
  </si>
  <si>
    <t xml:space="preserve">1. Муниципальная программа "Развитие физической культуры и спорта в городе Зеленогорске";                                                                                                                                                                             2. Внебюджетные источники (средства от платной деятельности МБУ, находящихся в ведении МКУ "КФиС", благотворительные средства АО "ПО ЭХЗ"). </t>
  </si>
  <si>
    <t xml:space="preserve">1. Государственная программа Красноярского края "Развитие физической культуры и спорта"; 
2. Муниципальная программа "Развитие физической культуры и спорта в городе Зеленогорске". </t>
  </si>
  <si>
    <t xml:space="preserve">Муниципальная программа "Развитие физической культуры и спорта в городе Зеленогорске".
</t>
  </si>
  <si>
    <t xml:space="preserve">1. Государственная программа Красноярского края "Развитие физической культуры и спорта"; 
2. Муниципальная программа "Развитие физической культуры и спорта в городе Зеленогорске".                                                                                                                                   </t>
  </si>
  <si>
    <t xml:space="preserve">Муниципальная программа "Развитие образования в городе Зеленогорске".
</t>
  </si>
  <si>
    <t>1. Государственная программа Красноярского края "Развитие образования"; 
2. Муниципальныя программа "Развитие образования в городе Зеленогорске";
3. Муниципальная программа "Обеспечение безопасности населения города Зеленогорска";
4. Муниципальная программа "Капитальное строительство и капитальный ремонт в городе Зеленогорске";
5. Муниципальная программа "Защита населения и территории города Зеленогорска от чрезвычайных ситуаций природного и техногенного характера";
6. Внебюджетные источники (благотворительные средства Благотворительного фонда содействия повышению уровня знаний и профессиональных коммуникаций "Паритет").</t>
  </si>
  <si>
    <t>1. Национальный проект "Образование";
2. Федеральный проект "Цифровая образовательная среда".</t>
  </si>
  <si>
    <t xml:space="preserve">1. Государственная программа Красноярского края "Молодежь Красноярского края в XXI веке";
2. Муниципальная программа "Развитие молодежной политики города Зеленогорска". </t>
  </si>
  <si>
    <t>Поддержка молодежных общественных инициатив</t>
  </si>
  <si>
    <t xml:space="preserve">1. Государственная программа Красноярского края "Молодежь Красноярского края в XXI веке";
2. Муниципальная программа "Развитие молодежной политики города Зеленогорска".
</t>
  </si>
  <si>
    <t>1. Государственная программа Красноярского края "Молодежь Красноярского края в XXI веке";    
2. Муниципальная программа "Развитие молодежной политики города Зеленогорска".</t>
  </si>
  <si>
    <t>1. Федеральный бюджет (средства Федерального фонда обязательного медицинского страхования);
2. Краевой бюджет (средства Территориального фонда обязательного медицинского страхования);                                                                                                                                                                                                                                                                                               
3. Внебюджетные источники (средства филиала ФГБУ ФСНКЦ ФМБА России КБ № 42).</t>
  </si>
  <si>
    <t>1. Федеральный бюджет (средства ФМБА России);
2. Краевой бюджет (средства Территориального фонда обязательного медицинского страхования);                                                                                                                                                                                                                                                                                               
3. Внебюджетные источники (средства филиала ФГБУ ФСНКЦ ФМБА России КБ № 42).</t>
  </si>
  <si>
    <t xml:space="preserve">1. Ведомственная целевая программа "Модернизация первичного звена здравоохранения Российской Федерации";
2. Внебюджетные источники (средства филиала ФГБУ ФСНКЦ ФМБА России КБ № 42).
</t>
  </si>
  <si>
    <t>1. Федеральный бюджет (средства Федерального фонда обязательного медицинского страхования);
2. Ведомственная целевая программа "Модернизация первичного звена здравоохранения Российской Федерации";
3. Краевой бюджет (средства Территориального фонда обязательного медицинского страхования);
4. Внебюджетные источники (средства филиала ФГБУ ФСНКЦ ФМБА России КБ № 42).</t>
  </si>
  <si>
    <t>1. Краевой бюджет (средства Территориального фонда обязательного медицинского страхования);
2. Внебюджетные источники (средства филиала ФГБУ ФСНКЦ ФМБА России КБ № 42).</t>
  </si>
  <si>
    <t>Федеральный бюджет (средства Федерального фонда обязательного медицинского страхования).</t>
  </si>
  <si>
    <t>1. Федеральная программа "Оптимальная для восстановления здоровья медицинская реабилитация";
2. Федеральный бюджет (средства Федерального фонда обязательного медицинского страхования);
3. Краевой бюджет (средства Территориального фонда обязательного медицинского страхования);
4. Внебюджетные источники (средства филиала ФГБУ ФСНКЦ ФМБА России КБ № 42).</t>
  </si>
  <si>
    <t>3.3.</t>
  </si>
  <si>
    <t>Строительство тепловых сетей к поселку индивидуальных застройщиков на 1000 дворов</t>
  </si>
  <si>
    <t>1. Государственная программа Красноярского края "Развитие культуры и туризма;
2. Внебюджетные источники (добровольные пожертвования физических лиц, благотворительные средства АО "ПО ЭХЗ").</t>
  </si>
  <si>
    <t xml:space="preserve">1. Государственная программа Красноярского края "Развитие образования";                                                                                                                                                                      2. Внебюджетные источники (средства от платной деятельности КГБПОУ "Зеленогорский техникум промышленных технологий и сервиса"). </t>
  </si>
  <si>
    <t xml:space="preserve">Внебюджетные источники (благотворительные средства 
АО "ТВЭЛ", АО "ПО ЭХЗ"). </t>
  </si>
  <si>
    <t>Внебюджетные источники (благотворительные средства 
АО "ПО ЭХЗ").</t>
  </si>
  <si>
    <t xml:space="preserve">1. Муниципальная программа "Развитие образования в городе Зеленогорске";
2. Внебюджетные источники (благотворительные средства 
АО "ПО ЭХЗ").
</t>
  </si>
  <si>
    <t>1. Государственная программа Красноярского края "Развитие образования";  
2. Муниципальныя программа "Развитие образования в городе Зеленогорске";             
3. Внебюджетные источники (благотворительные средства 
АО "ПО ЭХЗ").</t>
  </si>
  <si>
    <t xml:space="preserve">1. Государственная программа Красноярского края "Развитие физической культуры и спорта"; 
2. Внебюджетные источники (благотворительные средства 
АО "ПО ЭХЗ").                                                                                                                                                                        </t>
  </si>
  <si>
    <t xml:space="preserve">1. Государственная программа Красноярского края "Развитие физической культуры и спорта";
2. Муниципальная программа "Развитие физической культуры и спорта в городе Зеленогорске";
3. Внебюджетные источники (благотворительные средства 
АО "ПО ЭХЗ"). 
                                                       </t>
  </si>
  <si>
    <t xml:space="preserve">1. Государственная программа Красноярского края "Содействие развитию местного самоуправления";
2. 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Зеленогорске";
3. Муниципальная программа "Развитие образования в городе Зеленогорске";
4. Муниципальная программа "Развитие физической культуры и спорта в городе Зеленогорске"; 
5. Внебюджетные источники (благотворительные средства 
АО "ТВЭЛ").   
                                                       </t>
  </si>
  <si>
    <t xml:space="preserve">1. Государственная программа Красноярского края "Развитие культуры и туризма";
2. Муниципальная программа "Развитие культуры города Зеленогорска"; 
3. Внебюджетные источники (благотворительные средства 
АО "ПО ЭХЗ", Президентский фонд культурных инициатив, Фонд "Соработничество"). </t>
  </si>
  <si>
    <t xml:space="preserve">Внебюджетнные источники (благотворительные средства 
АО  "ПО ЭХЗ", средства от платной деятельности МКУ "Комитет по делам культуры"). </t>
  </si>
  <si>
    <t>1. Муниципальная программа "Развитие культуры города Зеленогорска";    
2. Муниципальная программа "Обеспечение безопасности населения города Зеленогорска";                               
3. Внебюджетные источники (благотворительные средства 
АО "ПО ЭХЗ", АО "ТВЭЛ").</t>
  </si>
  <si>
    <t xml:space="preserve">1. Государственная программа Красноярского края "Развитие культуры и туризма"; 
2. Муниципальная программа "Развитие культуры города Зеленогорска";                                                                                                                                         
3. Внебюджетные источники (средства от платной деятельности МБУ, находящихся в ведении МКУ "Комитет по делам культуры", благотворительные средства 
АО "ПО ЭХЗ"). </t>
  </si>
  <si>
    <t>1. Государственная программа Красноярского края "Молодежь Красноярского края в XXI веке";
2. Муниципальная программа "Развитие молодежной политики города Зеленогорска";
3. Внебюджетные источники (благотворительные средства 
АО "ПО ЭХЗ", ООО "Визит-М", ИП Суворова М.В.).</t>
  </si>
  <si>
    <t>1. Государственная программа Красноярского края "Содействие органам местного самоуправления в формировании современной городской среды";
2. Муниципальная программа "Формирование современной городской среды в городе Зеленогорске";
3. 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Зеленогорске";
4. Внебюджетные источники (благотворительные средства 
АО "ПО ЭХЗ").</t>
  </si>
  <si>
    <t>Исполнитель: Татаринова Д.А.</t>
  </si>
  <si>
    <t>Динамика основных показателей Стратегии социально-экономического развития города Зеленогорска на период до 2030 года и 
Плана мероприятий по реализации Стратегии социально-экономического развития города Зеленогорска на период до 2030 года</t>
  </si>
  <si>
    <t>Цель 1 уровня  –  непрерывный рост качества жизни населения по стандартам, сформированным на основе освоения передовых эффективных практик комфортной и безопасной жизнедеятельности</t>
  </si>
  <si>
    <t>- центральным водопроводом</t>
  </si>
  <si>
    <t>- канализацией</t>
  </si>
  <si>
    <t>- централизованным отоплением</t>
  </si>
  <si>
    <t>- горячим водоснабжением</t>
  </si>
  <si>
    <t>- газом</t>
  </si>
  <si>
    <t>Приложение № 2</t>
  </si>
  <si>
    <t xml:space="preserve">1. Муниципальная программа "Развитие физической культуры и спорта в городе Зеленогорске"; 
2. Внебюджетные источники (средства от платной деятельности МБУ, находящихся в ведении МКУ "КФиС").                                                                                                                          </t>
  </si>
  <si>
    <t xml:space="preserve">1. Государственная программа Красноярского края "Молодежь Красноярского края в XXI веке";
2. Муниципальная программа "Капитальное строительство и капитальный ремонт в городе Зеленогорске";
3. Муниципальная программа "Развитие культуры города Зеленогорска";  
4. Муниципальная программа "Развитие молодежной политики города Зеленогорска";  
5. Внебюджетные источники (благотворительные средства 
АО "ПО ЭХЗ", средства от платной деятельности МБУ, находящихся в ведении МКУ "Комитет по делам культуры"). </t>
  </si>
  <si>
    <t xml:space="preserve">1. Государственная программа Красноярского края "Содействие органам местного самоуправления в формировании современной городской среды";
2. Муниципальная программа "Формирование современной городской среды в городе Зеленогорске"; 
3. 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Зеленогорске";   
4. Муниципальная программа "Развитие транспортной системы в городе Зеленогорске";                                                     
5. Внебюджетные  источники (благотворительные средства 
АО "ТВЭЛ", АО "ПО ЭХЗ"). 
</t>
  </si>
  <si>
    <t>1. Государственная программа Красноярского края "Содействие развитию гражданского общества";
2. Муниципальная программа "Гражданское общество – закрытое административно-территориальное образование Зеленогорск";
3. Внебюджетные источники (Фонд Президентских грантов, Грантовая программа Красноярского края "Партнерство", Грантовый конкурс "Православная инициатива", Фонд Тимченко, АНО "Энергия Развития", АНО "Атом-спорт", благотворительные средства АО "ПО ЭХЗ", АО "ТВЭЛ").</t>
  </si>
  <si>
    <t>Доля твердых коммунальных отходов, подлежащих переработке и утилизации, в общем объеме образующихся твердых коммунальных отходов</t>
  </si>
  <si>
    <t>Доля обучающихся в общеобразовательных учреждениях, переведенных на единую электронную карту школьника</t>
  </si>
  <si>
    <t>Доля активных пользователей, использующих функции личного кабинета в сфере ЖКХ</t>
  </si>
  <si>
    <t>Приложение № 3</t>
  </si>
  <si>
    <t>1. Государственная программа Красноярского края "Развитие транспортной системы"; 
2. Внебюджетные средства (средства АО "Зеленогорское АТП").</t>
  </si>
  <si>
    <t>Удельный вес общей площади жилищного фонда, оборудованного:</t>
  </si>
  <si>
    <t xml:space="preserve">1. Государственная программа Красноярского края "Содействие занятости населения";
2. Внебюджетные источники (средства организаций города).                                                                                                                                                                                                        </t>
  </si>
  <si>
    <t xml:space="preserve">1. Государственная программа Красноярского края "Содействие занятости населения";
2. Внебюджетные источники (средства организаций города).           </t>
  </si>
  <si>
    <t xml:space="preserve">1. Федеральный бюджет (средства Федерального фонда обязательного медицинского страхования, целевые средства по программе "Земский доктор");                                                           
2. Краевой бюджет (средства Территориального фонда обязательного медицинского страхования); 
3. Государственная программа Красноярского края "Содействие занятости населения";
4. Внебюджетные источники (благотворительные средства 
АО "ТВЭЛ", АО "ПО ЭХЗ", средства филиала ФГБУ ФСНКЦ ФМБА России КБ № 42).
</t>
  </si>
  <si>
    <t xml:space="preserve">Муниципальная программа "Охрана окружающей среды и защита городских лесов на территории города Зеленогорска".  </t>
  </si>
  <si>
    <t xml:space="preserve">Доля населения, участвующего в платных культурно-досуговых мероприятиях, организованных органами местного самоуправления и муниципальными учреждениями культуры* </t>
  </si>
  <si>
    <t>*фактические данные за 2022 год и 2023 год уточнены в соответствии с отчетными данными к прогнозу социально-экономического развития</t>
  </si>
  <si>
    <t>Доля населения, участвующего в платных культурно-досуговых мероприятиях, организованных органами местного самоуправления и муниципальными учреждениями культуры*</t>
  </si>
  <si>
    <t>Доля детей первой и второй групп здоровья в общей численности обучающихся в общеобразовательных учреждениях муниципальной формы собственности*</t>
  </si>
  <si>
    <t>Информация, содержащая коммерческую тайну</t>
  </si>
  <si>
    <t>ИТОГО</t>
  </si>
  <si>
    <t xml:space="preserve">1. Государственная программа Красноярского края "Развитие инвестиционной, инновационной деятельности, малого и среднего предпринимательства на территории края";
2. Муниципальная программа "Развитие малого и среднего предпринимательства в городе Зеленогорске";                                                           
3. Внебюджетные источники (средства АНО "ККЦРБ МКК" в г. Зеленогорске (Центр "Мой бизнес"), НКО "ФРП 
города Зеленогорска").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</si>
</sst>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#,##0.000"/>
    <numFmt numFmtId="167" formatCode="0.0"/>
    <numFmt numFmtId="168" formatCode="[$-419]General"/>
    <numFmt numFmtId="169" formatCode="dd/mm/yy;@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2"/>
      <charset val="204"/>
    </font>
    <font>
      <i/>
      <sz val="11"/>
      <name val="Times New Roman"/>
      <family val="1"/>
      <charset val="204"/>
    </font>
    <font>
      <sz val="10"/>
      <color rgb="FF000000"/>
      <name val="SimSun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64"/>
      <name val="Calibri"/>
      <family val="2"/>
      <charset val="204"/>
    </font>
    <font>
      <sz val="10"/>
      <color theme="1"/>
      <name val="Calibri"/>
      <family val="1"/>
      <charset val="204"/>
      <scheme val="minor"/>
    </font>
    <font>
      <b/>
      <sz val="14"/>
      <name val="Times New Roman"/>
      <family val="1"/>
      <charset val="204"/>
    </font>
    <font>
      <sz val="11"/>
      <color theme="1"/>
      <name val="Calibri"/>
      <family val="1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2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  <xf numFmtId="0" fontId="6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8" fillId="0" borderId="0"/>
    <xf numFmtId="0" fontId="24" fillId="0" borderId="0"/>
    <xf numFmtId="0" fontId="6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4" borderId="9" applyNumberFormat="0" applyAlignment="0" applyProtection="0"/>
    <xf numFmtId="0" fontId="6" fillId="24" borderId="9" applyNumberFormat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168" fontId="26" fillId="0" borderId="0"/>
    <xf numFmtId="0" fontId="28" fillId="0" borderId="0"/>
    <xf numFmtId="0" fontId="24" fillId="0" borderId="0"/>
    <xf numFmtId="0" fontId="24" fillId="0" borderId="0"/>
    <xf numFmtId="0" fontId="36" fillId="0" borderId="0"/>
    <xf numFmtId="0" fontId="41" fillId="0" borderId="0"/>
    <xf numFmtId="0" fontId="41" fillId="0" borderId="0"/>
  </cellStyleXfs>
  <cellXfs count="296">
    <xf numFmtId="0" fontId="0" fillId="0" borderId="0" xfId="0"/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7" fontId="32" fillId="0" borderId="1" xfId="0" applyNumberFormat="1" applyFont="1" applyFill="1" applyBorder="1" applyAlignment="1">
      <alignment horizontal="center" vertical="center" wrapText="1"/>
    </xf>
    <xf numFmtId="3" fontId="3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1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1" xfId="0" applyNumberFormat="1" applyFont="1" applyBorder="1" applyAlignment="1">
      <alignment horizontal="center" vertical="center"/>
    </xf>
    <xf numFmtId="165" fontId="3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7" fontId="32" fillId="0" borderId="1" xfId="0" applyNumberFormat="1" applyFont="1" applyBorder="1" applyAlignment="1">
      <alignment horizontal="center" vertical="center" wrapText="1"/>
    </xf>
    <xf numFmtId="167" fontId="33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2" fontId="32" fillId="0" borderId="1" xfId="0" applyNumberFormat="1" applyFont="1" applyFill="1" applyBorder="1" applyAlignment="1">
      <alignment horizontal="center" vertical="center" wrapText="1"/>
    </xf>
    <xf numFmtId="165" fontId="32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/>
    <xf numFmtId="165" fontId="33" fillId="0" borderId="0" xfId="0" applyNumberFormat="1" applyFont="1"/>
    <xf numFmtId="0" fontId="33" fillId="0" borderId="0" xfId="0" applyFont="1" applyAlignment="1">
      <alignment vertical="top" wrapText="1"/>
    </xf>
    <xf numFmtId="0" fontId="33" fillId="0" borderId="0" xfId="99" applyFont="1" applyAlignment="1">
      <alignment horizontal="left" vertical="center"/>
    </xf>
    <xf numFmtId="0" fontId="33" fillId="0" borderId="0" xfId="99" applyFont="1" applyAlignment="1">
      <alignment horizontal="left"/>
    </xf>
    <xf numFmtId="0" fontId="33" fillId="25" borderId="1" xfId="0" applyFont="1" applyFill="1" applyBorder="1" applyAlignment="1">
      <alignment horizontal="left" vertical="top"/>
    </xf>
    <xf numFmtId="0" fontId="33" fillId="25" borderId="1" xfId="0" applyFont="1" applyFill="1" applyBorder="1" applyAlignment="1">
      <alignment horizontal="left" vertical="top" wrapText="1"/>
    </xf>
    <xf numFmtId="165" fontId="33" fillId="25" borderId="1" xfId="0" applyNumberFormat="1" applyFont="1" applyFill="1" applyBorder="1" applyAlignment="1">
      <alignment horizontal="left" vertical="top" wrapText="1"/>
    </xf>
    <xf numFmtId="165" fontId="27" fillId="25" borderId="1" xfId="0" applyNumberFormat="1" applyFont="1" applyFill="1" applyBorder="1" applyAlignment="1">
      <alignment horizontal="center" vertical="top"/>
    </xf>
    <xf numFmtId="0" fontId="33" fillId="0" borderId="0" xfId="0" applyFont="1" applyAlignment="1">
      <alignment vertical="top"/>
    </xf>
    <xf numFmtId="0" fontId="33" fillId="25" borderId="1" xfId="0" applyFont="1" applyFill="1" applyBorder="1" applyAlignment="1">
      <alignment vertical="top"/>
    </xf>
    <xf numFmtId="165" fontId="27" fillId="0" borderId="1" xfId="0" applyNumberFormat="1" applyFont="1" applyFill="1" applyBorder="1" applyAlignment="1">
      <alignment horizontal="center" vertical="top" wrapText="1"/>
    </xf>
    <xf numFmtId="165" fontId="33" fillId="0" borderId="1" xfId="0" applyNumberFormat="1" applyFont="1" applyFill="1" applyBorder="1" applyAlignment="1">
      <alignment horizontal="center" vertical="top" wrapText="1"/>
    </xf>
    <xf numFmtId="165" fontId="33" fillId="0" borderId="1" xfId="0" applyNumberFormat="1" applyFont="1" applyFill="1" applyBorder="1" applyAlignment="1">
      <alignment horizontal="left" vertical="top" wrapText="1"/>
    </xf>
    <xf numFmtId="4" fontId="33" fillId="25" borderId="1" xfId="0" applyNumberFormat="1" applyFont="1" applyFill="1" applyBorder="1" applyAlignment="1">
      <alignment horizontal="left" vertical="top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4" fontId="33" fillId="25" borderId="1" xfId="0" applyNumberFormat="1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33" fillId="0" borderId="0" xfId="0" applyFont="1" applyFill="1" applyAlignment="1">
      <alignment vertical="top" wrapText="1"/>
    </xf>
    <xf numFmtId="0" fontId="33" fillId="0" borderId="0" xfId="0" applyFont="1" applyFill="1" applyAlignment="1">
      <alignment vertical="top"/>
    </xf>
    <xf numFmtId="0" fontId="33" fillId="0" borderId="0" xfId="0" applyFont="1" applyFill="1"/>
    <xf numFmtId="0" fontId="27" fillId="0" borderId="0" xfId="0" applyFont="1" applyBorder="1"/>
    <xf numFmtId="0" fontId="27" fillId="0" borderId="0" xfId="0" applyFont="1" applyBorder="1" applyAlignment="1">
      <alignment horizontal="left"/>
    </xf>
    <xf numFmtId="0" fontId="33" fillId="0" borderId="0" xfId="0" applyFont="1" applyAlignment="1">
      <alignment horizontal="left"/>
    </xf>
    <xf numFmtId="169" fontId="33" fillId="0" borderId="0" xfId="0" applyNumberFormat="1" applyFont="1" applyAlignment="1">
      <alignment horizontal="left"/>
    </xf>
    <xf numFmtId="4" fontId="0" fillId="0" borderId="0" xfId="0" applyNumberFormat="1"/>
    <xf numFmtId="0" fontId="3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5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top" wrapText="1"/>
    </xf>
    <xf numFmtId="49" fontId="40" fillId="0" borderId="0" xfId="0" applyNumberFormat="1" applyFont="1" applyBorder="1" applyAlignment="1">
      <alignment horizontal="left" vertical="top" wrapText="1"/>
    </xf>
    <xf numFmtId="0" fontId="40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33" fillId="0" borderId="0" xfId="0" applyFont="1" applyBorder="1" applyAlignment="1">
      <alignment horizontal="left"/>
    </xf>
    <xf numFmtId="0" fontId="33" fillId="0" borderId="0" xfId="0" applyFont="1" applyAlignment="1">
      <alignment horizontal="center" vertical="top"/>
    </xf>
    <xf numFmtId="0" fontId="33" fillId="0" borderId="0" xfId="99" applyFont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165" fontId="33" fillId="0" borderId="0" xfId="0" applyNumberFormat="1" applyFont="1" applyFill="1"/>
    <xf numFmtId="165" fontId="33" fillId="0" borderId="0" xfId="99" applyNumberFormat="1" applyFont="1" applyFill="1" applyAlignment="1">
      <alignment horizontal="left" vertical="center"/>
    </xf>
    <xf numFmtId="165" fontId="33" fillId="0" borderId="1" xfId="0" applyNumberFormat="1" applyFont="1" applyFill="1" applyBorder="1" applyAlignment="1">
      <alignment horizontal="center" vertical="center"/>
    </xf>
    <xf numFmtId="165" fontId="27" fillId="0" borderId="0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left" vertical="top"/>
    </xf>
    <xf numFmtId="165" fontId="33" fillId="0" borderId="0" xfId="0" applyNumberFormat="1" applyFont="1" applyFill="1" applyAlignment="1">
      <alignment horizontal="center"/>
    </xf>
    <xf numFmtId="165" fontId="37" fillId="0" borderId="0" xfId="0" applyNumberFormat="1" applyFont="1" applyFill="1" applyBorder="1" applyAlignment="1">
      <alignment horizontal="center"/>
    </xf>
    <xf numFmtId="0" fontId="37" fillId="0" borderId="0" xfId="0" applyFont="1" applyBorder="1" applyAlignment="1">
      <alignment horizontal="left"/>
    </xf>
    <xf numFmtId="0" fontId="39" fillId="0" borderId="0" xfId="0" applyFont="1" applyAlignment="1">
      <alignment vertical="top" wrapText="1"/>
    </xf>
    <xf numFmtId="0" fontId="39" fillId="0" borderId="0" xfId="0" applyFont="1" applyAlignment="1">
      <alignment vertical="top"/>
    </xf>
    <xf numFmtId="0" fontId="39" fillId="0" borderId="0" xfId="0" applyFont="1"/>
    <xf numFmtId="0" fontId="39" fillId="0" borderId="0" xfId="0" applyFont="1" applyBorder="1" applyAlignment="1">
      <alignment horizontal="right"/>
    </xf>
    <xf numFmtId="165" fontId="27" fillId="0" borderId="0" xfId="0" applyNumberFormat="1" applyFont="1" applyFill="1"/>
    <xf numFmtId="165" fontId="27" fillId="0" borderId="0" xfId="99" applyNumberFormat="1" applyFont="1" applyFill="1" applyAlignment="1">
      <alignment horizontal="left" vertical="center"/>
    </xf>
    <xf numFmtId="0" fontId="27" fillId="0" borderId="0" xfId="0" applyFont="1" applyFill="1" applyAlignment="1">
      <alignment horizontal="left" vertical="top"/>
    </xf>
    <xf numFmtId="165" fontId="27" fillId="0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165" fontId="0" fillId="0" borderId="0" xfId="0" applyNumberFormat="1" applyAlignment="1">
      <alignment vertical="center"/>
    </xf>
    <xf numFmtId="43" fontId="2" fillId="0" borderId="0" xfId="1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vertical="center"/>
    </xf>
    <xf numFmtId="0" fontId="38" fillId="0" borderId="0" xfId="0" applyFont="1" applyAlignment="1">
      <alignment vertical="center"/>
    </xf>
    <xf numFmtId="165" fontId="2" fillId="0" borderId="0" xfId="0" applyNumberFormat="1" applyFont="1"/>
    <xf numFmtId="0" fontId="38" fillId="0" borderId="0" xfId="0" applyFont="1" applyAlignment="1"/>
    <xf numFmtId="0" fontId="0" fillId="0" borderId="0" xfId="0" applyBorder="1"/>
    <xf numFmtId="167" fontId="40" fillId="0" borderId="0" xfId="0" applyNumberFormat="1" applyFont="1" applyBorder="1" applyAlignment="1">
      <alignment horizontal="center" vertical="center"/>
    </xf>
    <xf numFmtId="0" fontId="2" fillId="25" borderId="0" xfId="0" applyFont="1" applyFill="1" applyBorder="1" applyAlignment="1">
      <alignment horizontal="center" vertical="center"/>
    </xf>
    <xf numFmtId="43" fontId="2" fillId="25" borderId="0" xfId="1" applyFont="1" applyFill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2" fillId="0" borderId="0" xfId="0" applyFont="1" applyBorder="1"/>
    <xf numFmtId="14" fontId="2" fillId="0" borderId="0" xfId="0" applyNumberFormat="1" applyFont="1" applyAlignment="1">
      <alignment horizontal="left"/>
    </xf>
    <xf numFmtId="0" fontId="42" fillId="0" borderId="0" xfId="0" applyFont="1" applyAlignment="1">
      <alignment vertical="center"/>
    </xf>
    <xf numFmtId="14" fontId="42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165" fontId="33" fillId="0" borderId="1" xfId="0" applyNumberFormat="1" applyFont="1" applyFill="1" applyBorder="1" applyAlignment="1">
      <alignment horizontal="center" vertical="center" wrapText="1"/>
    </xf>
    <xf numFmtId="165" fontId="2" fillId="25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0" fontId="32" fillId="25" borderId="1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/>
    </xf>
    <xf numFmtId="4" fontId="32" fillId="0" borderId="1" xfId="0" applyNumberFormat="1" applyFont="1" applyFill="1" applyBorder="1" applyAlignment="1">
      <alignment vertical="center" wrapText="1"/>
    </xf>
    <xf numFmtId="3" fontId="2" fillId="25" borderId="1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vertical="top" wrapText="1"/>
    </xf>
    <xf numFmtId="165" fontId="33" fillId="0" borderId="0" xfId="0" applyNumberFormat="1" applyFont="1" applyFill="1" applyBorder="1" applyAlignment="1">
      <alignment horizontal="left" vertical="top" wrapText="1"/>
    </xf>
    <xf numFmtId="0" fontId="33" fillId="0" borderId="0" xfId="0" applyFont="1" applyFill="1" applyBorder="1" applyAlignment="1">
      <alignment horizontal="left" vertical="top" wrapText="1"/>
    </xf>
    <xf numFmtId="0" fontId="33" fillId="0" borderId="0" xfId="0" applyFont="1" applyFill="1" applyBorder="1" applyAlignment="1">
      <alignment vertical="top" wrapText="1"/>
    </xf>
    <xf numFmtId="0" fontId="33" fillId="0" borderId="0" xfId="0" applyFont="1" applyAlignment="1">
      <alignment horizontal="left" vertical="top" wrapText="1"/>
    </xf>
    <xf numFmtId="0" fontId="33" fillId="0" borderId="1" xfId="0" applyFont="1" applyFill="1" applyBorder="1" applyAlignment="1">
      <alignment horizontal="center" vertical="top"/>
    </xf>
    <xf numFmtId="165" fontId="27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center" vertical="center"/>
    </xf>
    <xf numFmtId="165" fontId="33" fillId="25" borderId="1" xfId="0" applyNumberFormat="1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vertical="center" wrapText="1"/>
    </xf>
    <xf numFmtId="165" fontId="33" fillId="25" borderId="1" xfId="0" applyNumberFormat="1" applyFont="1" applyFill="1" applyBorder="1" applyAlignment="1">
      <alignment horizontal="center" vertical="center" wrapText="1"/>
    </xf>
    <xf numFmtId="3" fontId="33" fillId="25" borderId="1" xfId="0" applyNumberFormat="1" applyFont="1" applyFill="1" applyBorder="1" applyAlignment="1">
      <alignment horizontal="center" vertical="center" wrapText="1"/>
    </xf>
    <xf numFmtId="0" fontId="32" fillId="25" borderId="1" xfId="0" applyFont="1" applyFill="1" applyBorder="1" applyAlignment="1">
      <alignment horizontal="left" vertical="center"/>
    </xf>
    <xf numFmtId="165" fontId="32" fillId="25" borderId="1" xfId="0" applyNumberFormat="1" applyFont="1" applyFill="1" applyBorder="1" applyAlignment="1">
      <alignment horizontal="center" vertical="center" wrapText="1"/>
    </xf>
    <xf numFmtId="49" fontId="33" fillId="25" borderId="1" xfId="0" applyNumberFormat="1" applyFont="1" applyFill="1" applyBorder="1" applyAlignment="1">
      <alignment horizontal="left" vertical="center" wrapText="1"/>
    </xf>
    <xf numFmtId="0" fontId="33" fillId="25" borderId="1" xfId="0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25" borderId="1" xfId="0" applyFont="1" applyFill="1" applyBorder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 wrapText="1"/>
    </xf>
    <xf numFmtId="165" fontId="32" fillId="0" borderId="0" xfId="0" applyNumberFormat="1" applyFont="1" applyFill="1" applyBorder="1" applyAlignment="1">
      <alignment horizontal="center" vertical="center" wrapText="1"/>
    </xf>
    <xf numFmtId="165" fontId="3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38" fillId="0" borderId="0" xfId="0" applyFont="1" applyFill="1" applyAlignment="1">
      <alignment vertical="center"/>
    </xf>
    <xf numFmtId="0" fontId="0" fillId="0" borderId="0" xfId="0" applyFill="1"/>
    <xf numFmtId="4" fontId="0" fillId="0" borderId="0" xfId="0" applyNumberFormat="1" applyFill="1"/>
    <xf numFmtId="166" fontId="2" fillId="25" borderId="1" xfId="0" applyNumberFormat="1" applyFont="1" applyFill="1" applyBorder="1" applyAlignment="1">
      <alignment horizontal="center" vertical="center" wrapText="1"/>
    </xf>
    <xf numFmtId="0" fontId="33" fillId="25" borderId="1" xfId="0" applyFont="1" applyFill="1" applyBorder="1" applyAlignment="1">
      <alignment vertical="center"/>
    </xf>
    <xf numFmtId="0" fontId="33" fillId="2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167" fontId="2" fillId="25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 shrinkToFit="1"/>
    </xf>
    <xf numFmtId="0" fontId="38" fillId="0" borderId="0" xfId="0" applyFont="1" applyFill="1" applyAlignment="1"/>
    <xf numFmtId="0" fontId="0" fillId="0" borderId="0" xfId="0" applyFont="1" applyBorder="1"/>
    <xf numFmtId="0" fontId="0" fillId="0" borderId="0" xfId="0" applyFont="1"/>
    <xf numFmtId="0" fontId="0" fillId="0" borderId="0" xfId="0" applyFont="1" applyFill="1"/>
    <xf numFmtId="4" fontId="0" fillId="0" borderId="0" xfId="0" applyNumberFormat="1" applyFont="1" applyFill="1"/>
    <xf numFmtId="0" fontId="39" fillId="0" borderId="0" xfId="0" applyFont="1" applyFill="1" applyAlignment="1">
      <alignment horizontal="right" vertical="center"/>
    </xf>
    <xf numFmtId="166" fontId="3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33" fillId="25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33" fillId="25" borderId="1" xfId="0" applyNumberFormat="1" applyFont="1" applyFill="1" applyBorder="1" applyAlignment="1">
      <alignment horizontal="center" vertical="center" wrapText="1"/>
    </xf>
    <xf numFmtId="49" fontId="32" fillId="25" borderId="1" xfId="0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/>
    <xf numFmtId="49" fontId="32" fillId="0" borderId="1" xfId="0" applyNumberFormat="1" applyFont="1" applyFill="1" applyBorder="1" applyAlignment="1">
      <alignment vertical="center" wrapText="1"/>
    </xf>
    <xf numFmtId="165" fontId="33" fillId="0" borderId="1" xfId="99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right" wrapText="1"/>
    </xf>
    <xf numFmtId="0" fontId="33" fillId="25" borderId="1" xfId="0" applyFont="1" applyFill="1" applyBorder="1" applyAlignment="1">
      <alignment horizontal="center" vertical="top"/>
    </xf>
    <xf numFmtId="0" fontId="33" fillId="0" borderId="1" xfId="0" applyFont="1" applyBorder="1" applyAlignment="1">
      <alignment vertical="top" wrapText="1"/>
    </xf>
    <xf numFmtId="0" fontId="33" fillId="0" borderId="1" xfId="0" applyFont="1" applyBorder="1" applyAlignment="1">
      <alignment wrapText="1"/>
    </xf>
    <xf numFmtId="4" fontId="33" fillId="0" borderId="1" xfId="0" applyNumberFormat="1" applyFont="1" applyFill="1" applyBorder="1" applyAlignment="1">
      <alignment horizontal="center" vertical="top"/>
    </xf>
    <xf numFmtId="4" fontId="33" fillId="0" borderId="1" xfId="0" applyNumberFormat="1" applyFont="1" applyFill="1" applyBorder="1" applyAlignment="1">
      <alignment horizontal="left" vertical="top" wrapText="1"/>
    </xf>
    <xf numFmtId="4" fontId="33" fillId="25" borderId="1" xfId="0" applyNumberFormat="1" applyFont="1" applyFill="1" applyBorder="1" applyAlignment="1">
      <alignment horizontal="center" vertical="top"/>
    </xf>
    <xf numFmtId="4" fontId="33" fillId="25" borderId="1" xfId="0" applyNumberFormat="1" applyFont="1" applyFill="1" applyBorder="1" applyAlignment="1">
      <alignment horizontal="left" vertical="center" wrapText="1"/>
    </xf>
    <xf numFmtId="4" fontId="33" fillId="0" borderId="1" xfId="0" applyNumberFormat="1" applyFont="1" applyFill="1" applyBorder="1" applyAlignment="1">
      <alignment horizontal="center" vertical="top" wrapText="1"/>
    </xf>
    <xf numFmtId="167" fontId="33" fillId="0" borderId="1" xfId="0" applyNumberFormat="1" applyFont="1" applyFill="1" applyBorder="1" applyAlignment="1">
      <alignment horizontal="center" vertical="top" wrapText="1"/>
    </xf>
    <xf numFmtId="17" fontId="33" fillId="0" borderId="1" xfId="0" applyNumberFormat="1" applyFont="1" applyFill="1" applyBorder="1" applyAlignment="1">
      <alignment horizontal="center" vertical="top"/>
    </xf>
    <xf numFmtId="165" fontId="33" fillId="0" borderId="1" xfId="0" applyNumberFormat="1" applyFont="1" applyFill="1" applyBorder="1" applyAlignment="1">
      <alignment vertical="top" wrapText="1"/>
    </xf>
    <xf numFmtId="165" fontId="33" fillId="0" borderId="1" xfId="0" applyNumberFormat="1" applyFont="1" applyFill="1" applyBorder="1" applyAlignment="1">
      <alignment horizontal="center" vertical="top"/>
    </xf>
    <xf numFmtId="49" fontId="33" fillId="25" borderId="1" xfId="0" applyNumberFormat="1" applyFont="1" applyFill="1" applyBorder="1" applyAlignment="1">
      <alignment horizontal="center" vertical="top"/>
    </xf>
    <xf numFmtId="165" fontId="33" fillId="25" borderId="1" xfId="0" applyNumberFormat="1" applyFont="1" applyFill="1" applyBorder="1" applyAlignment="1">
      <alignment horizontal="left" vertical="center" wrapText="1"/>
    </xf>
    <xf numFmtId="16" fontId="33" fillId="25" borderId="1" xfId="0" applyNumberFormat="1" applyFont="1" applyFill="1" applyBorder="1" applyAlignment="1">
      <alignment horizontal="center" vertical="top"/>
    </xf>
    <xf numFmtId="0" fontId="33" fillId="25" borderId="1" xfId="0" applyFont="1" applyFill="1" applyBorder="1" applyAlignment="1">
      <alignment vertical="top" wrapText="1"/>
    </xf>
    <xf numFmtId="2" fontId="33" fillId="25" borderId="1" xfId="0" applyNumberFormat="1" applyFont="1" applyFill="1" applyBorder="1" applyAlignment="1">
      <alignment horizontal="center" vertical="top"/>
    </xf>
    <xf numFmtId="165" fontId="33" fillId="0" borderId="0" xfId="0" applyNumberFormat="1" applyFont="1" applyFill="1" applyAlignment="1">
      <alignment horizontal="center" vertical="top"/>
    </xf>
    <xf numFmtId="0" fontId="27" fillId="0" borderId="1" xfId="0" applyFont="1" applyFill="1" applyBorder="1"/>
    <xf numFmtId="165" fontId="33" fillId="0" borderId="0" xfId="0" applyNumberFormat="1" applyFont="1" applyFill="1" applyAlignment="1">
      <alignment horizontal="left" vertical="top"/>
    </xf>
    <xf numFmtId="165" fontId="2" fillId="0" borderId="0" xfId="0" applyNumberFormat="1" applyFont="1" applyAlignment="1">
      <alignment horizontal="right" vertical="center"/>
    </xf>
    <xf numFmtId="2" fontId="33" fillId="0" borderId="1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center"/>
    </xf>
    <xf numFmtId="0" fontId="25" fillId="25" borderId="20" xfId="0" applyFont="1" applyFill="1" applyBorder="1" applyAlignment="1">
      <alignment horizontal="left" vertical="center"/>
    </xf>
    <xf numFmtId="0" fontId="25" fillId="25" borderId="21" xfId="0" applyFont="1" applyFill="1" applyBorder="1" applyAlignment="1">
      <alignment horizontal="left" vertical="center"/>
    </xf>
    <xf numFmtId="0" fontId="25" fillId="25" borderId="22" xfId="0" applyFont="1" applyFill="1" applyBorder="1" applyAlignment="1">
      <alignment horizontal="left" vertical="center"/>
    </xf>
    <xf numFmtId="0" fontId="30" fillId="25" borderId="20" xfId="0" applyFont="1" applyFill="1" applyBorder="1" applyAlignment="1">
      <alignment horizontal="left" vertical="top"/>
    </xf>
    <xf numFmtId="0" fontId="30" fillId="25" borderId="21" xfId="0" applyFont="1" applyFill="1" applyBorder="1" applyAlignment="1">
      <alignment horizontal="left" vertical="top"/>
    </xf>
    <xf numFmtId="0" fontId="30" fillId="25" borderId="22" xfId="0" applyFont="1" applyFill="1" applyBorder="1" applyAlignment="1">
      <alignment horizontal="left" vertical="top"/>
    </xf>
    <xf numFmtId="0" fontId="25" fillId="25" borderId="23" xfId="0" applyFont="1" applyFill="1" applyBorder="1" applyAlignment="1">
      <alignment horizontal="left" vertical="center"/>
    </xf>
    <xf numFmtId="0" fontId="25" fillId="25" borderId="24" xfId="0" applyFont="1" applyFill="1" applyBorder="1" applyAlignment="1">
      <alignment horizontal="left" vertical="center"/>
    </xf>
    <xf numFmtId="0" fontId="25" fillId="25" borderId="25" xfId="0" applyFont="1" applyFill="1" applyBorder="1" applyAlignment="1">
      <alignment horizontal="left" vertical="center"/>
    </xf>
    <xf numFmtId="0" fontId="25" fillId="0" borderId="23" xfId="0" applyFont="1" applyFill="1" applyBorder="1" applyAlignment="1">
      <alignment horizontal="left" vertical="center"/>
    </xf>
    <xf numFmtId="0" fontId="25" fillId="0" borderId="24" xfId="0" applyFont="1" applyFill="1" applyBorder="1" applyAlignment="1">
      <alignment horizontal="left" vertical="center"/>
    </xf>
    <xf numFmtId="0" fontId="25" fillId="0" borderId="25" xfId="0" applyFont="1" applyFill="1" applyBorder="1" applyAlignment="1">
      <alignment horizontal="left" vertical="center"/>
    </xf>
    <xf numFmtId="0" fontId="33" fillId="2" borderId="30" xfId="0" applyFont="1" applyFill="1" applyBorder="1" applyAlignment="1">
      <alignment horizontal="left" vertical="top" wrapText="1"/>
    </xf>
    <xf numFmtId="0" fontId="33" fillId="2" borderId="31" xfId="0" applyFont="1" applyFill="1" applyBorder="1" applyAlignment="1">
      <alignment horizontal="left" vertical="top" wrapText="1"/>
    </xf>
    <xf numFmtId="0" fontId="33" fillId="2" borderId="32" xfId="0" applyFont="1" applyFill="1" applyBorder="1" applyAlignment="1">
      <alignment horizontal="left" vertical="top" wrapText="1"/>
    </xf>
    <xf numFmtId="165" fontId="33" fillId="2" borderId="31" xfId="0" applyNumberFormat="1" applyFont="1" applyFill="1" applyBorder="1" applyAlignment="1">
      <alignment horizontal="left" vertical="top" wrapText="1"/>
    </xf>
    <xf numFmtId="165" fontId="33" fillId="2" borderId="32" xfId="0" applyNumberFormat="1" applyFont="1" applyFill="1" applyBorder="1" applyAlignment="1">
      <alignment horizontal="left" vertical="top" wrapText="1"/>
    </xf>
    <xf numFmtId="0" fontId="25" fillId="25" borderId="14" xfId="0" applyFont="1" applyFill="1" applyBorder="1" applyAlignment="1">
      <alignment horizontal="left" vertical="center"/>
    </xf>
    <xf numFmtId="0" fontId="25" fillId="25" borderId="15" xfId="0" applyFont="1" applyFill="1" applyBorder="1" applyAlignment="1">
      <alignment horizontal="left" vertical="center"/>
    </xf>
    <xf numFmtId="0" fontId="25" fillId="25" borderId="16" xfId="0" applyFont="1" applyFill="1" applyBorder="1" applyAlignment="1">
      <alignment horizontal="left" vertical="center"/>
    </xf>
    <xf numFmtId="0" fontId="30" fillId="25" borderId="1" xfId="0" applyFont="1" applyFill="1" applyBorder="1" applyAlignment="1">
      <alignment horizontal="left" vertical="center" wrapText="1"/>
    </xf>
    <xf numFmtId="0" fontId="25" fillId="25" borderId="1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left" vertical="center"/>
    </xf>
    <xf numFmtId="0" fontId="30" fillId="25" borderId="24" xfId="0" applyFont="1" applyFill="1" applyBorder="1" applyAlignment="1">
      <alignment horizontal="left" vertical="center"/>
    </xf>
    <xf numFmtId="0" fontId="30" fillId="25" borderId="25" xfId="0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left" vertical="top"/>
    </xf>
    <xf numFmtId="0" fontId="25" fillId="0" borderId="15" xfId="0" applyFont="1" applyFill="1" applyBorder="1" applyAlignment="1">
      <alignment horizontal="left" vertical="top"/>
    </xf>
    <xf numFmtId="0" fontId="25" fillId="0" borderId="16" xfId="0" applyFont="1" applyFill="1" applyBorder="1" applyAlignment="1">
      <alignment horizontal="left" vertical="top"/>
    </xf>
    <xf numFmtId="0" fontId="30" fillId="0" borderId="1" xfId="0" applyFont="1" applyFill="1" applyBorder="1" applyAlignment="1">
      <alignment horizontal="left" vertical="center"/>
    </xf>
    <xf numFmtId="0" fontId="25" fillId="25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165" fontId="33" fillId="2" borderId="30" xfId="0" applyNumberFormat="1" applyFont="1" applyFill="1" applyBorder="1" applyAlignment="1">
      <alignment horizontal="left" vertical="top" wrapText="1"/>
    </xf>
    <xf numFmtId="0" fontId="30" fillId="0" borderId="14" xfId="0" applyFont="1" applyBorder="1" applyAlignment="1">
      <alignment horizontal="left" vertical="center"/>
    </xf>
    <xf numFmtId="0" fontId="30" fillId="0" borderId="15" xfId="0" applyFont="1" applyBorder="1" applyAlignment="1">
      <alignment horizontal="left" vertical="center"/>
    </xf>
    <xf numFmtId="0" fontId="30" fillId="0" borderId="16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6" xfId="0" applyFont="1" applyFill="1" applyBorder="1" applyAlignment="1">
      <alignment horizontal="left" vertical="center"/>
    </xf>
    <xf numFmtId="0" fontId="25" fillId="25" borderId="14" xfId="0" applyFont="1" applyFill="1" applyBorder="1" applyAlignment="1">
      <alignment horizontal="left" vertical="top"/>
    </xf>
    <xf numFmtId="0" fontId="25" fillId="25" borderId="15" xfId="0" applyFont="1" applyFill="1" applyBorder="1" applyAlignment="1">
      <alignment horizontal="left" vertical="top"/>
    </xf>
    <xf numFmtId="0" fontId="25" fillId="25" borderId="16" xfId="0" applyFont="1" applyFill="1" applyBorder="1" applyAlignment="1">
      <alignment horizontal="left" vertical="top"/>
    </xf>
    <xf numFmtId="0" fontId="25" fillId="25" borderId="17" xfId="0" applyFont="1" applyFill="1" applyBorder="1" applyAlignment="1">
      <alignment horizontal="left" vertical="center"/>
    </xf>
    <xf numFmtId="0" fontId="25" fillId="25" borderId="18" xfId="0" applyFont="1" applyFill="1" applyBorder="1" applyAlignment="1">
      <alignment horizontal="left" vertical="center"/>
    </xf>
    <xf numFmtId="0" fontId="25" fillId="25" borderId="19" xfId="0" applyFont="1" applyFill="1" applyBorder="1" applyAlignment="1">
      <alignment horizontal="left" vertical="center"/>
    </xf>
    <xf numFmtId="0" fontId="30" fillId="25" borderId="14" xfId="0" applyFont="1" applyFill="1" applyBorder="1" applyAlignment="1">
      <alignment horizontal="left" vertical="center"/>
    </xf>
    <xf numFmtId="0" fontId="30" fillId="25" borderId="15" xfId="0" applyFont="1" applyFill="1" applyBorder="1" applyAlignment="1">
      <alignment horizontal="left" vertical="center"/>
    </xf>
    <xf numFmtId="0" fontId="30" fillId="25" borderId="16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43" fillId="0" borderId="0" xfId="99" applyFont="1" applyAlignment="1">
      <alignment horizontal="center" vertical="center" wrapText="1"/>
    </xf>
    <xf numFmtId="0" fontId="43" fillId="0" borderId="0" xfId="99" applyFont="1" applyAlignment="1">
      <alignment horizontal="left" vertical="center" wrapText="1"/>
    </xf>
    <xf numFmtId="0" fontId="33" fillId="0" borderId="1" xfId="99" applyFont="1" applyBorder="1" applyAlignment="1">
      <alignment horizontal="center" vertical="top" wrapText="1"/>
    </xf>
    <xf numFmtId="0" fontId="33" fillId="0" borderId="1" xfId="99" applyFont="1" applyBorder="1" applyAlignment="1">
      <alignment horizontal="center" vertical="center" wrapText="1"/>
    </xf>
    <xf numFmtId="165" fontId="33" fillId="0" borderId="1" xfId="99" applyNumberFormat="1" applyFont="1" applyFill="1" applyBorder="1" applyAlignment="1">
      <alignment horizontal="center" vertical="center" wrapText="1"/>
    </xf>
    <xf numFmtId="165" fontId="33" fillId="0" borderId="1" xfId="99" applyNumberFormat="1" applyFont="1" applyFill="1" applyBorder="1" applyAlignment="1">
      <alignment horizontal="center" vertical="center"/>
    </xf>
    <xf numFmtId="49" fontId="33" fillId="0" borderId="1" xfId="99" applyNumberFormat="1" applyFont="1" applyBorder="1" applyAlignment="1">
      <alignment horizontal="center" vertical="center" wrapText="1"/>
    </xf>
    <xf numFmtId="14" fontId="33" fillId="0" borderId="0" xfId="0" applyNumberFormat="1" applyFont="1" applyFill="1" applyAlignment="1">
      <alignment horizontal="left"/>
    </xf>
    <xf numFmtId="0" fontId="25" fillId="25" borderId="1" xfId="0" applyFont="1" applyFill="1" applyBorder="1" applyAlignment="1">
      <alignment horizontal="left" vertical="top" wrapText="1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left"/>
    </xf>
    <xf numFmtId="0" fontId="29" fillId="0" borderId="27" xfId="0" applyFont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165" fontId="2" fillId="0" borderId="0" xfId="0" applyNumberFormat="1" applyFont="1" applyAlignment="1">
      <alignment horizontal="left"/>
    </xf>
    <xf numFmtId="0" fontId="38" fillId="0" borderId="0" xfId="0" applyFont="1" applyAlignment="1">
      <alignment horizontal="right" vertical="center"/>
    </xf>
    <xf numFmtId="0" fontId="38" fillId="0" borderId="0" xfId="0" applyFont="1" applyAlignment="1">
      <alignment horizontal="left" vertical="center"/>
    </xf>
    <xf numFmtId="14" fontId="2" fillId="0" borderId="0" xfId="0" applyNumberFormat="1" applyFont="1" applyFill="1" applyAlignment="1">
      <alignment horizontal="left"/>
    </xf>
    <xf numFmtId="165" fontId="2" fillId="0" borderId="0" xfId="0" applyNumberFormat="1" applyFont="1" applyAlignment="1">
      <alignment horizontal="right" vertical="center"/>
    </xf>
    <xf numFmtId="0" fontId="3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25" borderId="13" xfId="0" applyNumberFormat="1" applyFont="1" applyFill="1" applyBorder="1" applyAlignment="1">
      <alignment horizontal="center" vertical="center" wrapText="1"/>
    </xf>
    <xf numFmtId="1" fontId="2" fillId="25" borderId="11" xfId="0" applyNumberFormat="1" applyFont="1" applyFill="1" applyBorder="1" applyAlignment="1">
      <alignment horizontal="center" vertical="center" wrapText="1"/>
    </xf>
    <xf numFmtId="1" fontId="2" fillId="25" borderId="12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" fontId="2" fillId="25" borderId="26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justify" vertical="center" wrapText="1"/>
    </xf>
    <xf numFmtId="0" fontId="29" fillId="0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5" fillId="0" borderId="0" xfId="0" applyFont="1" applyFill="1" applyAlignment="1">
      <alignment horizontal="center" vertical="center" wrapText="1"/>
    </xf>
    <xf numFmtId="0" fontId="3" fillId="26" borderId="1" xfId="0" applyFont="1" applyFill="1" applyBorder="1" applyAlignment="1">
      <alignment horizontal="left" vertical="center" wrapText="1"/>
    </xf>
    <xf numFmtId="0" fontId="3" fillId="26" borderId="1" xfId="0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9" fillId="0" borderId="1" xfId="0" applyFont="1" applyBorder="1" applyAlignment="1">
      <alignment horizontal="justify" vertical="center" wrapText="1"/>
    </xf>
  </cellXfs>
  <cellStyles count="102">
    <cellStyle name="_Показатели ОМСУ6 с изменениями" xfId="4"/>
    <cellStyle name="20% - Акцент1 2" xfId="6"/>
    <cellStyle name="20% - Акцент1 3" xfId="5"/>
    <cellStyle name="20% - Акцент2 2" xfId="8"/>
    <cellStyle name="20% - Акцент2 3" xfId="7"/>
    <cellStyle name="20% - Акцент3 2" xfId="10"/>
    <cellStyle name="20% - Акцент3 3" xfId="9"/>
    <cellStyle name="20% - Акцент4 2" xfId="12"/>
    <cellStyle name="20% - Акцент4 3" xfId="11"/>
    <cellStyle name="20% - Акцент5 2" xfId="14"/>
    <cellStyle name="20% - Акцент5 3" xfId="13"/>
    <cellStyle name="20% - Акцент6 2" xfId="16"/>
    <cellStyle name="20% - Акцент6 3" xfId="15"/>
    <cellStyle name="40% - Акцент1 2" xfId="18"/>
    <cellStyle name="40% - Акцент1 3" xfId="17"/>
    <cellStyle name="40% - Акцент2 2" xfId="20"/>
    <cellStyle name="40% - Акцент2 3" xfId="19"/>
    <cellStyle name="40% - Акцент3 2" xfId="22"/>
    <cellStyle name="40% - Акцент3 3" xfId="21"/>
    <cellStyle name="40% - Акцент4 2" xfId="24"/>
    <cellStyle name="40% - Акцент4 3" xfId="23"/>
    <cellStyle name="40% - Акцент5 2" xfId="26"/>
    <cellStyle name="40% - Акцент5 3" xfId="25"/>
    <cellStyle name="40% - Акцент6 2" xfId="28"/>
    <cellStyle name="40% - Акцент6 3" xfId="27"/>
    <cellStyle name="60% - Акцент1 2" xfId="30"/>
    <cellStyle name="60% - Акцент1 3" xfId="29"/>
    <cellStyle name="60% - Акцент2 2" xfId="32"/>
    <cellStyle name="60% - Акцент2 3" xfId="31"/>
    <cellStyle name="60% - Акцент3 2" xfId="34"/>
    <cellStyle name="60% - Акцент3 3" xfId="33"/>
    <cellStyle name="60% - Акцент4 2" xfId="36"/>
    <cellStyle name="60% - Акцент4 3" xfId="35"/>
    <cellStyle name="60% - Акцент5 2" xfId="38"/>
    <cellStyle name="60% - Акцент5 3" xfId="37"/>
    <cellStyle name="60% - Акцент6 2" xfId="40"/>
    <cellStyle name="60% - Акцент6 3" xfId="39"/>
    <cellStyle name="Excel Built-in Normal" xfId="95"/>
    <cellStyle name="Акцент1 2" xfId="42"/>
    <cellStyle name="Акцент1 3" xfId="41"/>
    <cellStyle name="Акцент2 2" xfId="44"/>
    <cellStyle name="Акцент2 3" xfId="43"/>
    <cellStyle name="Акцент3 2" xfId="46"/>
    <cellStyle name="Акцент3 3" xfId="45"/>
    <cellStyle name="Акцент4 2" xfId="48"/>
    <cellStyle name="Акцент4 3" xfId="47"/>
    <cellStyle name="Акцент5 2" xfId="50"/>
    <cellStyle name="Акцент5 3" xfId="49"/>
    <cellStyle name="Акцент6 2" xfId="52"/>
    <cellStyle name="Акцент6 3" xfId="51"/>
    <cellStyle name="Ввод  2" xfId="54"/>
    <cellStyle name="Ввод  3" xfId="53"/>
    <cellStyle name="Вывод 2" xfId="56"/>
    <cellStyle name="Вывод 3" xfId="55"/>
    <cellStyle name="Вычисление 2" xfId="58"/>
    <cellStyle name="Вычисление 3" xfId="57"/>
    <cellStyle name="Заголовок 1 2" xfId="60"/>
    <cellStyle name="Заголовок 1 3" xfId="59"/>
    <cellStyle name="Заголовок 2 2" xfId="62"/>
    <cellStyle name="Заголовок 2 3" xfId="61"/>
    <cellStyle name="Заголовок 3 2" xfId="64"/>
    <cellStyle name="Заголовок 3 3" xfId="63"/>
    <cellStyle name="Заголовок 4 2" xfId="66"/>
    <cellStyle name="Заголовок 4 3" xfId="65"/>
    <cellStyle name="Итог 2" xfId="68"/>
    <cellStyle name="Итог 3" xfId="67"/>
    <cellStyle name="Контрольная ячейка 2" xfId="70"/>
    <cellStyle name="Контрольная ячейка 3" xfId="69"/>
    <cellStyle name="Название 2" xfId="72"/>
    <cellStyle name="Название 3" xfId="71"/>
    <cellStyle name="Нейтральный 2" xfId="74"/>
    <cellStyle name="Нейтральный 3" xfId="73"/>
    <cellStyle name="Обычный" xfId="0" builtinId="0"/>
    <cellStyle name="Обычный 10" xfId="98"/>
    <cellStyle name="Обычный 2" xfId="75"/>
    <cellStyle name="Обычный 2 2" xfId="96"/>
    <cellStyle name="Обычный 2 2 2" xfId="101"/>
    <cellStyle name="Обычный 2 3" xfId="99"/>
    <cellStyle name="Обычный 3" xfId="76"/>
    <cellStyle name="Обычный 30" xfId="97"/>
    <cellStyle name="Обычный 4" xfId="77"/>
    <cellStyle name="Обычный 4 2" xfId="100"/>
    <cellStyle name="Обычный 5" xfId="78"/>
    <cellStyle name="Обычный 6" xfId="3"/>
    <cellStyle name="Плохой 2" xfId="80"/>
    <cellStyle name="Плохой 3" xfId="79"/>
    <cellStyle name="Пояснение 2" xfId="82"/>
    <cellStyle name="Пояснение 3" xfId="81"/>
    <cellStyle name="Примечание 2" xfId="84"/>
    <cellStyle name="Примечание 3" xfId="83"/>
    <cellStyle name="Процентный 2" xfId="86"/>
    <cellStyle name="Процентный 3" xfId="85"/>
    <cellStyle name="Связанная ячейка 2" xfId="88"/>
    <cellStyle name="Связанная ячейка 3" xfId="87"/>
    <cellStyle name="Стиль 1" xfId="89"/>
    <cellStyle name="Текст предупреждения 2" xfId="91"/>
    <cellStyle name="Текст предупреждения 3" xfId="90"/>
    <cellStyle name="Финансовый" xfId="1" builtinId="3"/>
    <cellStyle name="Финансовый 2" xfId="94"/>
    <cellStyle name="Финансовый 3" xfId="2"/>
    <cellStyle name="Хороший 2" xfId="93"/>
    <cellStyle name="Хороший 3" xfId="9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2"/>
  <sheetViews>
    <sheetView view="pageBreakPreview" zoomScaleNormal="100" zoomScaleSheetLayoutView="100" workbookViewId="0">
      <pane ySplit="6" topLeftCell="A223" activePane="bottomLeft" state="frozen"/>
      <selection pane="bottomLeft" activeCell="I12" sqref="I12"/>
    </sheetView>
  </sheetViews>
  <sheetFormatPr defaultRowHeight="15" x14ac:dyDescent="0.25"/>
  <cols>
    <col min="1" max="1" width="6.85546875" style="71" customWidth="1"/>
    <col min="2" max="2" width="64.42578125" style="36" customWidth="1"/>
    <col min="3" max="3" width="14.85546875" style="86" customWidth="1"/>
    <col min="4" max="4" width="14.42578125" style="74" customWidth="1"/>
    <col min="5" max="5" width="15" style="74" customWidth="1"/>
    <col min="6" max="6" width="14.5703125" style="74" customWidth="1"/>
    <col min="7" max="7" width="15.5703125" style="74" customWidth="1"/>
    <col min="8" max="8" width="56.42578125" style="60" customWidth="1"/>
    <col min="9" max="9" width="115.5703125" style="38" customWidth="1"/>
    <col min="10" max="10" width="63.5703125" style="45" customWidth="1"/>
    <col min="11" max="11" width="163" style="45" customWidth="1"/>
    <col min="12" max="14" width="9.140625" style="45"/>
    <col min="15" max="16384" width="9.140625" style="36"/>
  </cols>
  <sheetData>
    <row r="1" spans="1:14" s="38" customFormat="1" hidden="1" x14ac:dyDescent="0.25">
      <c r="A1" s="71"/>
      <c r="B1" s="36"/>
      <c r="C1" s="86"/>
      <c r="D1" s="74"/>
      <c r="E1" s="74"/>
      <c r="F1" s="74"/>
      <c r="G1" s="74"/>
      <c r="H1" s="177" t="s">
        <v>598</v>
      </c>
      <c r="J1" s="45"/>
      <c r="K1" s="45"/>
      <c r="L1" s="45"/>
      <c r="M1" s="45"/>
      <c r="N1" s="45"/>
    </row>
    <row r="2" spans="1:14" s="38" customFormat="1" hidden="1" x14ac:dyDescent="0.25">
      <c r="A2" s="71"/>
      <c r="B2" s="36"/>
      <c r="C2" s="86"/>
      <c r="D2" s="74"/>
      <c r="E2" s="74"/>
      <c r="F2" s="74"/>
      <c r="G2" s="74"/>
      <c r="H2" s="177"/>
      <c r="J2" s="45"/>
      <c r="K2" s="45"/>
      <c r="L2" s="45"/>
      <c r="M2" s="45"/>
      <c r="N2" s="45"/>
    </row>
    <row r="3" spans="1:14" s="38" customFormat="1" ht="43.5" customHeight="1" x14ac:dyDescent="0.25">
      <c r="A3" s="256" t="s">
        <v>403</v>
      </c>
      <c r="B3" s="256"/>
      <c r="C3" s="256"/>
      <c r="D3" s="256"/>
      <c r="E3" s="256"/>
      <c r="F3" s="256"/>
      <c r="G3" s="256"/>
      <c r="H3" s="257"/>
      <c r="J3" s="45"/>
      <c r="K3" s="45"/>
      <c r="L3" s="45"/>
      <c r="M3" s="45"/>
      <c r="N3" s="45"/>
    </row>
    <row r="4" spans="1:14" s="38" customFormat="1" ht="19.5" customHeight="1" x14ac:dyDescent="0.25">
      <c r="A4" s="72"/>
      <c r="B4" s="39"/>
      <c r="C4" s="87"/>
      <c r="D4" s="75"/>
      <c r="E4" s="75"/>
      <c r="F4" s="75"/>
      <c r="G4" s="75"/>
      <c r="H4" s="40"/>
      <c r="J4" s="45"/>
      <c r="K4" s="45"/>
      <c r="L4" s="45"/>
      <c r="M4" s="45"/>
      <c r="N4" s="45"/>
    </row>
    <row r="5" spans="1:14" s="38" customFormat="1" ht="15" customHeight="1" x14ac:dyDescent="0.25">
      <c r="A5" s="258" t="s">
        <v>0</v>
      </c>
      <c r="B5" s="259" t="s">
        <v>104</v>
      </c>
      <c r="C5" s="260" t="s">
        <v>404</v>
      </c>
      <c r="D5" s="261"/>
      <c r="E5" s="261"/>
      <c r="F5" s="261"/>
      <c r="G5" s="261"/>
      <c r="H5" s="262" t="s">
        <v>402</v>
      </c>
      <c r="J5" s="45"/>
      <c r="K5" s="45"/>
      <c r="L5" s="45"/>
      <c r="M5" s="45"/>
      <c r="N5" s="45"/>
    </row>
    <row r="6" spans="1:14" s="38" customFormat="1" ht="38.25" customHeight="1" x14ac:dyDescent="0.25">
      <c r="A6" s="258"/>
      <c r="B6" s="259"/>
      <c r="C6" s="76" t="s">
        <v>24</v>
      </c>
      <c r="D6" s="176" t="s">
        <v>105</v>
      </c>
      <c r="E6" s="176" t="s">
        <v>106</v>
      </c>
      <c r="F6" s="176" t="s">
        <v>107</v>
      </c>
      <c r="G6" s="176" t="s">
        <v>108</v>
      </c>
      <c r="H6" s="262"/>
      <c r="J6" s="45"/>
      <c r="K6" s="45"/>
      <c r="L6" s="45"/>
      <c r="M6" s="45"/>
      <c r="N6" s="45"/>
    </row>
    <row r="7" spans="1:14" s="55" customFormat="1" x14ac:dyDescent="0.25">
      <c r="A7" s="243" t="s">
        <v>109</v>
      </c>
      <c r="B7" s="244"/>
      <c r="C7" s="244"/>
      <c r="D7" s="244"/>
      <c r="E7" s="244"/>
      <c r="F7" s="244"/>
      <c r="G7" s="244"/>
      <c r="H7" s="245"/>
      <c r="J7" s="56"/>
      <c r="K7" s="56"/>
      <c r="L7" s="56"/>
      <c r="M7" s="56"/>
      <c r="N7" s="56"/>
    </row>
    <row r="8" spans="1:14" s="38" customFormat="1" ht="15" customHeight="1" x14ac:dyDescent="0.25">
      <c r="A8" s="237" t="s">
        <v>110</v>
      </c>
      <c r="B8" s="238"/>
      <c r="C8" s="238"/>
      <c r="D8" s="238"/>
      <c r="E8" s="238"/>
      <c r="F8" s="238"/>
      <c r="G8" s="238"/>
      <c r="H8" s="239"/>
      <c r="J8" s="45"/>
      <c r="K8" s="45"/>
      <c r="L8" s="45"/>
      <c r="M8" s="45"/>
      <c r="N8" s="45"/>
    </row>
    <row r="9" spans="1:14" s="38" customFormat="1" x14ac:dyDescent="0.25">
      <c r="A9" s="240" t="s">
        <v>410</v>
      </c>
      <c r="B9" s="241"/>
      <c r="C9" s="241"/>
      <c r="D9" s="241"/>
      <c r="E9" s="241"/>
      <c r="F9" s="241"/>
      <c r="G9" s="241"/>
      <c r="H9" s="242"/>
      <c r="J9" s="45"/>
      <c r="K9" s="45"/>
      <c r="L9" s="45"/>
      <c r="M9" s="45"/>
      <c r="N9" s="45"/>
    </row>
    <row r="10" spans="1:14" s="38" customFormat="1" x14ac:dyDescent="0.25">
      <c r="A10" s="121" t="s">
        <v>111</v>
      </c>
      <c r="B10" s="213" t="s">
        <v>617</v>
      </c>
      <c r="C10" s="214"/>
      <c r="D10" s="214"/>
      <c r="E10" s="214"/>
      <c r="F10" s="214"/>
      <c r="G10" s="214"/>
      <c r="H10" s="215"/>
      <c r="J10" s="45"/>
      <c r="K10" s="45"/>
      <c r="L10" s="45"/>
      <c r="M10" s="45"/>
      <c r="N10" s="45"/>
    </row>
    <row r="11" spans="1:14" s="38" customFormat="1" x14ac:dyDescent="0.25">
      <c r="A11" s="121" t="s">
        <v>112</v>
      </c>
      <c r="B11" s="213" t="s">
        <v>617</v>
      </c>
      <c r="C11" s="214"/>
      <c r="D11" s="214"/>
      <c r="E11" s="214"/>
      <c r="F11" s="214"/>
      <c r="G11" s="214"/>
      <c r="H11" s="215"/>
      <c r="J11" s="45"/>
      <c r="K11" s="45"/>
      <c r="L11" s="45"/>
      <c r="M11" s="45"/>
      <c r="N11" s="45"/>
    </row>
    <row r="12" spans="1:14" s="38" customFormat="1" x14ac:dyDescent="0.25">
      <c r="A12" s="226" t="s">
        <v>411</v>
      </c>
      <c r="B12" s="227"/>
      <c r="C12" s="227"/>
      <c r="D12" s="227"/>
      <c r="E12" s="227"/>
      <c r="F12" s="227"/>
      <c r="G12" s="227"/>
      <c r="H12" s="228"/>
      <c r="J12" s="45"/>
      <c r="K12" s="45"/>
      <c r="L12" s="45"/>
      <c r="M12" s="45"/>
      <c r="N12" s="45"/>
    </row>
    <row r="13" spans="1:14" s="38" customFormat="1" x14ac:dyDescent="0.25">
      <c r="A13" s="121" t="s">
        <v>113</v>
      </c>
      <c r="B13" s="213" t="s">
        <v>617</v>
      </c>
      <c r="C13" s="214"/>
      <c r="D13" s="214"/>
      <c r="E13" s="214"/>
      <c r="F13" s="214"/>
      <c r="G13" s="214"/>
      <c r="H13" s="215"/>
      <c r="J13" s="45"/>
      <c r="K13" s="45"/>
      <c r="L13" s="45"/>
      <c r="M13" s="45"/>
      <c r="N13" s="45"/>
    </row>
    <row r="14" spans="1:14" s="38" customFormat="1" ht="32.25" customHeight="1" x14ac:dyDescent="0.25">
      <c r="A14" s="121" t="s">
        <v>114</v>
      </c>
      <c r="B14" s="66" t="s">
        <v>115</v>
      </c>
      <c r="C14" s="47">
        <f>SUM(D14:G14)</f>
        <v>821634</v>
      </c>
      <c r="D14" s="48">
        <v>0</v>
      </c>
      <c r="E14" s="48">
        <v>0</v>
      </c>
      <c r="F14" s="48">
        <v>0</v>
      </c>
      <c r="G14" s="48">
        <v>821634</v>
      </c>
      <c r="H14" s="49" t="s">
        <v>530</v>
      </c>
      <c r="I14" s="116"/>
      <c r="J14" s="45"/>
      <c r="K14" s="45"/>
      <c r="L14" s="45"/>
      <c r="M14" s="45"/>
      <c r="N14" s="45"/>
    </row>
    <row r="15" spans="1:14" s="38" customFormat="1" x14ac:dyDescent="0.25">
      <c r="A15" s="246" t="s">
        <v>412</v>
      </c>
      <c r="B15" s="247"/>
      <c r="C15" s="247"/>
      <c r="D15" s="247"/>
      <c r="E15" s="247"/>
      <c r="F15" s="247"/>
      <c r="G15" s="247"/>
      <c r="H15" s="248"/>
      <c r="I15" s="116"/>
      <c r="J15" s="45"/>
      <c r="K15" s="45"/>
      <c r="L15" s="45"/>
      <c r="M15" s="45"/>
      <c r="N15" s="45"/>
    </row>
    <row r="16" spans="1:14" s="38" customFormat="1" ht="30" x14ac:dyDescent="0.25">
      <c r="A16" s="178" t="s">
        <v>116</v>
      </c>
      <c r="B16" s="42" t="s">
        <v>117</v>
      </c>
      <c r="C16" s="47">
        <f>SUM(D16:G16)</f>
        <v>0</v>
      </c>
      <c r="D16" s="48">
        <v>0</v>
      </c>
      <c r="E16" s="48">
        <v>0</v>
      </c>
      <c r="F16" s="48">
        <v>0</v>
      </c>
      <c r="G16" s="48">
        <v>0</v>
      </c>
      <c r="H16" s="42" t="s">
        <v>118</v>
      </c>
      <c r="I16" s="116"/>
      <c r="J16" s="45"/>
      <c r="K16" s="45"/>
      <c r="L16" s="45"/>
      <c r="M16" s="45"/>
      <c r="N16" s="45"/>
    </row>
    <row r="17" spans="1:9" s="45" customFormat="1" x14ac:dyDescent="0.25">
      <c r="A17" s="237" t="s">
        <v>119</v>
      </c>
      <c r="B17" s="238"/>
      <c r="C17" s="238"/>
      <c r="D17" s="238"/>
      <c r="E17" s="238"/>
      <c r="F17" s="238"/>
      <c r="G17" s="238"/>
      <c r="H17" s="239"/>
      <c r="I17" s="116"/>
    </row>
    <row r="18" spans="1:9" s="45" customFormat="1" x14ac:dyDescent="0.25">
      <c r="A18" s="240" t="s">
        <v>413</v>
      </c>
      <c r="B18" s="241"/>
      <c r="C18" s="241"/>
      <c r="D18" s="241"/>
      <c r="E18" s="241"/>
      <c r="F18" s="241"/>
      <c r="G18" s="241"/>
      <c r="H18" s="242"/>
      <c r="I18" s="116"/>
    </row>
    <row r="19" spans="1:9" s="45" customFormat="1" ht="120" customHeight="1" x14ac:dyDescent="0.25">
      <c r="A19" s="178" t="s">
        <v>120</v>
      </c>
      <c r="B19" s="42" t="s">
        <v>531</v>
      </c>
      <c r="C19" s="47">
        <f>SUM(D19:G19)</f>
        <v>46667.070000000007</v>
      </c>
      <c r="D19" s="48">
        <v>0</v>
      </c>
      <c r="E19" s="48">
        <v>17400.400000000001</v>
      </c>
      <c r="F19" s="48">
        <v>918.2</v>
      </c>
      <c r="G19" s="48">
        <f>18348.47+10000</f>
        <v>28348.47</v>
      </c>
      <c r="H19" s="42" t="s">
        <v>619</v>
      </c>
      <c r="I19" s="118"/>
    </row>
    <row r="20" spans="1:9" s="45" customFormat="1" ht="48.75" customHeight="1" x14ac:dyDescent="0.25">
      <c r="A20" s="178" t="s">
        <v>121</v>
      </c>
      <c r="B20" s="179" t="s">
        <v>122</v>
      </c>
      <c r="C20" s="47">
        <f>SUM(D20:G20)</f>
        <v>0</v>
      </c>
      <c r="D20" s="48">
        <v>0</v>
      </c>
      <c r="E20" s="48">
        <v>0</v>
      </c>
      <c r="F20" s="48">
        <v>0</v>
      </c>
      <c r="G20" s="48">
        <v>0</v>
      </c>
      <c r="H20" s="43" t="s">
        <v>118</v>
      </c>
      <c r="I20" s="118"/>
    </row>
    <row r="21" spans="1:9" s="45" customFormat="1" x14ac:dyDescent="0.25">
      <c r="A21" s="218" t="s">
        <v>414</v>
      </c>
      <c r="B21" s="219"/>
      <c r="C21" s="219"/>
      <c r="D21" s="219"/>
      <c r="E21" s="219"/>
      <c r="F21" s="219"/>
      <c r="G21" s="219"/>
      <c r="H21" s="220"/>
      <c r="I21" s="38"/>
    </row>
    <row r="22" spans="1:9" s="45" customFormat="1" ht="15" customHeight="1" x14ac:dyDescent="0.25">
      <c r="A22" s="178" t="s">
        <v>123</v>
      </c>
      <c r="B22" s="180" t="s">
        <v>415</v>
      </c>
      <c r="C22" s="47">
        <f>SUM(D22:G22)</f>
        <v>0</v>
      </c>
      <c r="D22" s="48">
        <v>0</v>
      </c>
      <c r="E22" s="48">
        <v>0</v>
      </c>
      <c r="F22" s="48">
        <v>0</v>
      </c>
      <c r="G22" s="48">
        <v>0</v>
      </c>
      <c r="H22" s="43"/>
      <c r="I22" s="38"/>
    </row>
    <row r="23" spans="1:9" s="45" customFormat="1" ht="31.5" customHeight="1" x14ac:dyDescent="0.25">
      <c r="A23" s="178" t="s">
        <v>124</v>
      </c>
      <c r="B23" s="42" t="s">
        <v>125</v>
      </c>
      <c r="C23" s="47">
        <f>SUM(D23:G23)</f>
        <v>0</v>
      </c>
      <c r="D23" s="48">
        <v>0</v>
      </c>
      <c r="E23" s="48">
        <v>0</v>
      </c>
      <c r="F23" s="48">
        <v>0</v>
      </c>
      <c r="G23" s="48">
        <v>0</v>
      </c>
      <c r="H23" s="43"/>
      <c r="I23" s="38"/>
    </row>
    <row r="24" spans="1:9" s="45" customFormat="1" ht="30" x14ac:dyDescent="0.25">
      <c r="A24" s="178" t="s">
        <v>126</v>
      </c>
      <c r="B24" s="42" t="s">
        <v>127</v>
      </c>
      <c r="C24" s="47">
        <f>SUM(D24:G24)</f>
        <v>0</v>
      </c>
      <c r="D24" s="48">
        <v>0</v>
      </c>
      <c r="E24" s="48">
        <v>0</v>
      </c>
      <c r="F24" s="48">
        <v>0</v>
      </c>
      <c r="G24" s="48">
        <v>0</v>
      </c>
      <c r="H24" s="43" t="s">
        <v>118</v>
      </c>
      <c r="I24" s="38"/>
    </row>
    <row r="25" spans="1:9" s="45" customFormat="1" x14ac:dyDescent="0.25">
      <c r="A25" s="218" t="s">
        <v>416</v>
      </c>
      <c r="B25" s="219"/>
      <c r="C25" s="219"/>
      <c r="D25" s="219"/>
      <c r="E25" s="219"/>
      <c r="F25" s="219"/>
      <c r="G25" s="219"/>
      <c r="H25" s="220"/>
      <c r="I25" s="38"/>
    </row>
    <row r="26" spans="1:9" s="45" customFormat="1" ht="30.75" customHeight="1" x14ac:dyDescent="0.25">
      <c r="A26" s="178" t="s">
        <v>128</v>
      </c>
      <c r="B26" s="42" t="s">
        <v>129</v>
      </c>
      <c r="C26" s="47">
        <f>SUM(D26:G26)</f>
        <v>0</v>
      </c>
      <c r="D26" s="48">
        <v>0</v>
      </c>
      <c r="E26" s="48">
        <v>0</v>
      </c>
      <c r="F26" s="48">
        <v>0</v>
      </c>
      <c r="G26" s="48">
        <v>0</v>
      </c>
      <c r="H26" s="46" t="s">
        <v>118</v>
      </c>
      <c r="I26" s="38"/>
    </row>
    <row r="27" spans="1:9" s="45" customFormat="1" ht="30" customHeight="1" x14ac:dyDescent="0.25">
      <c r="A27" s="178" t="s">
        <v>130</v>
      </c>
      <c r="B27" s="42" t="s">
        <v>131</v>
      </c>
      <c r="C27" s="47">
        <f>SUM(D27:G27)</f>
        <v>0</v>
      </c>
      <c r="D27" s="48">
        <v>0</v>
      </c>
      <c r="E27" s="48">
        <v>0</v>
      </c>
      <c r="F27" s="48">
        <v>0</v>
      </c>
      <c r="G27" s="48">
        <v>0</v>
      </c>
      <c r="H27" s="46"/>
      <c r="I27" s="38"/>
    </row>
    <row r="28" spans="1:9" s="56" customFormat="1" x14ac:dyDescent="0.25">
      <c r="A28" s="243" t="s">
        <v>405</v>
      </c>
      <c r="B28" s="244"/>
      <c r="C28" s="244"/>
      <c r="D28" s="244"/>
      <c r="E28" s="244"/>
      <c r="F28" s="244"/>
      <c r="G28" s="244"/>
      <c r="H28" s="245"/>
      <c r="I28" s="55"/>
    </row>
    <row r="29" spans="1:9" s="56" customFormat="1" x14ac:dyDescent="0.25">
      <c r="A29" s="226" t="s">
        <v>406</v>
      </c>
      <c r="B29" s="227"/>
      <c r="C29" s="227"/>
      <c r="D29" s="227"/>
      <c r="E29" s="227"/>
      <c r="F29" s="227"/>
      <c r="G29" s="227"/>
      <c r="H29" s="228"/>
      <c r="I29" s="55"/>
    </row>
    <row r="30" spans="1:9" s="56" customFormat="1" ht="60.75" customHeight="1" x14ac:dyDescent="0.25">
      <c r="A30" s="121" t="s">
        <v>132</v>
      </c>
      <c r="B30" s="66" t="s">
        <v>133</v>
      </c>
      <c r="C30" s="47">
        <f>SUM(D30:G30)</f>
        <v>36</v>
      </c>
      <c r="D30" s="48">
        <v>0</v>
      </c>
      <c r="E30" s="48">
        <v>36</v>
      </c>
      <c r="F30" s="48">
        <v>0</v>
      </c>
      <c r="G30" s="48">
        <v>0</v>
      </c>
      <c r="H30" s="49" t="s">
        <v>493</v>
      </c>
      <c r="I30" s="55"/>
    </row>
    <row r="31" spans="1:9" s="56" customFormat="1" ht="60.75" customHeight="1" x14ac:dyDescent="0.25">
      <c r="A31" s="121" t="s">
        <v>134</v>
      </c>
      <c r="B31" s="66" t="s">
        <v>135</v>
      </c>
      <c r="C31" s="47">
        <f>SUM(D31:G31)</f>
        <v>3478.5</v>
      </c>
      <c r="D31" s="48">
        <v>0</v>
      </c>
      <c r="E31" s="48">
        <v>225.2</v>
      </c>
      <c r="F31" s="48">
        <v>0</v>
      </c>
      <c r="G31" s="48">
        <v>3253.3</v>
      </c>
      <c r="H31" s="49" t="s">
        <v>609</v>
      </c>
      <c r="I31" s="55"/>
    </row>
    <row r="32" spans="1:9" s="56" customFormat="1" ht="46.5" customHeight="1" x14ac:dyDescent="0.25">
      <c r="A32" s="121" t="s">
        <v>136</v>
      </c>
      <c r="B32" s="66" t="s">
        <v>137</v>
      </c>
      <c r="C32" s="47">
        <f>SUM(D32:G32)</f>
        <v>2845.9</v>
      </c>
      <c r="D32" s="48">
        <v>0</v>
      </c>
      <c r="E32" s="48">
        <v>2845.9</v>
      </c>
      <c r="F32" s="48">
        <v>0</v>
      </c>
      <c r="G32" s="48">
        <v>0</v>
      </c>
      <c r="H32" s="49" t="s">
        <v>493</v>
      </c>
      <c r="I32" s="55"/>
    </row>
    <row r="33" spans="1:10" s="56" customFormat="1" ht="45.75" customHeight="1" x14ac:dyDescent="0.25">
      <c r="A33" s="121" t="s">
        <v>138</v>
      </c>
      <c r="B33" s="66" t="s">
        <v>139</v>
      </c>
      <c r="C33" s="47">
        <f>SUM(D33:G33)</f>
        <v>3935.2</v>
      </c>
      <c r="D33" s="48">
        <v>0</v>
      </c>
      <c r="E33" s="48">
        <v>380.7</v>
      </c>
      <c r="F33" s="48">
        <v>0</v>
      </c>
      <c r="G33" s="48">
        <v>3554.5</v>
      </c>
      <c r="H33" s="49" t="s">
        <v>610</v>
      </c>
      <c r="I33" s="55"/>
    </row>
    <row r="34" spans="1:10" s="56" customFormat="1" x14ac:dyDescent="0.25">
      <c r="A34" s="226" t="s">
        <v>407</v>
      </c>
      <c r="B34" s="227"/>
      <c r="C34" s="227"/>
      <c r="D34" s="227"/>
      <c r="E34" s="227"/>
      <c r="F34" s="227"/>
      <c r="G34" s="227"/>
      <c r="H34" s="228"/>
      <c r="I34" s="55"/>
    </row>
    <row r="35" spans="1:10" s="56" customFormat="1" ht="30" x14ac:dyDescent="0.25">
      <c r="A35" s="121" t="s">
        <v>140</v>
      </c>
      <c r="B35" s="66" t="s">
        <v>141</v>
      </c>
      <c r="C35" s="47">
        <f>SUM(D35:G35)</f>
        <v>2006.4</v>
      </c>
      <c r="D35" s="48">
        <v>0</v>
      </c>
      <c r="E35" s="48">
        <v>2006.4</v>
      </c>
      <c r="F35" s="48">
        <v>0</v>
      </c>
      <c r="G35" s="48">
        <v>0</v>
      </c>
      <c r="H35" s="49" t="s">
        <v>493</v>
      </c>
      <c r="I35" s="55"/>
    </row>
    <row r="36" spans="1:10" s="56" customFormat="1" ht="47.25" customHeight="1" x14ac:dyDescent="0.25">
      <c r="A36" s="121" t="s">
        <v>142</v>
      </c>
      <c r="B36" s="66" t="s">
        <v>143</v>
      </c>
      <c r="C36" s="47">
        <f>SUM(D36:G36)</f>
        <v>569.29999999999995</v>
      </c>
      <c r="D36" s="48">
        <v>0</v>
      </c>
      <c r="E36" s="48">
        <v>0</v>
      </c>
      <c r="F36" s="48">
        <v>0</v>
      </c>
      <c r="G36" s="48">
        <v>569.29999999999995</v>
      </c>
      <c r="H36" s="49" t="s">
        <v>495</v>
      </c>
      <c r="I36" s="55"/>
    </row>
    <row r="37" spans="1:10" s="56" customFormat="1" ht="153.75" customHeight="1" x14ac:dyDescent="0.25">
      <c r="A37" s="121" t="s">
        <v>144</v>
      </c>
      <c r="B37" s="66" t="s">
        <v>145</v>
      </c>
      <c r="C37" s="47">
        <f>SUM(D37:G37)</f>
        <v>30675.17857</v>
      </c>
      <c r="D37" s="48">
        <f>11086.2+2658.5</f>
        <v>13744.7</v>
      </c>
      <c r="E37" s="48">
        <f>459.8+3955.2</f>
        <v>4415</v>
      </c>
      <c r="F37" s="48">
        <v>0</v>
      </c>
      <c r="G37" s="48">
        <f>2083.07857+10000+432.4</f>
        <v>12515.478569999999</v>
      </c>
      <c r="H37" s="49" t="s">
        <v>611</v>
      </c>
      <c r="I37" s="55"/>
      <c r="J37" s="55"/>
    </row>
    <row r="38" spans="1:10" s="45" customFormat="1" x14ac:dyDescent="0.25">
      <c r="A38" s="229" t="s">
        <v>417</v>
      </c>
      <c r="B38" s="230"/>
      <c r="C38" s="230"/>
      <c r="D38" s="230"/>
      <c r="E38" s="230"/>
      <c r="F38" s="230"/>
      <c r="G38" s="230"/>
      <c r="H38" s="231"/>
      <c r="I38" s="38"/>
    </row>
    <row r="39" spans="1:10" s="45" customFormat="1" ht="105" x14ac:dyDescent="0.25">
      <c r="A39" s="181" t="s">
        <v>146</v>
      </c>
      <c r="B39" s="182" t="s">
        <v>492</v>
      </c>
      <c r="C39" s="47">
        <f t="shared" ref="C39:C48" si="0">SUM(D39:G39)</f>
        <v>446.9</v>
      </c>
      <c r="D39" s="48">
        <v>0</v>
      </c>
      <c r="E39" s="48">
        <v>284</v>
      </c>
      <c r="F39" s="48">
        <v>0</v>
      </c>
      <c r="G39" s="48">
        <v>162.9</v>
      </c>
      <c r="H39" s="49" t="s">
        <v>576</v>
      </c>
      <c r="I39" s="38"/>
    </row>
    <row r="40" spans="1:10" s="45" customFormat="1" ht="30" x14ac:dyDescent="0.25">
      <c r="A40" s="183" t="s">
        <v>147</v>
      </c>
      <c r="B40" s="50" t="s">
        <v>148</v>
      </c>
      <c r="C40" s="216" t="s">
        <v>617</v>
      </c>
      <c r="D40" s="216"/>
      <c r="E40" s="216"/>
      <c r="F40" s="216"/>
      <c r="G40" s="216"/>
      <c r="H40" s="217"/>
      <c r="I40" s="38"/>
    </row>
    <row r="41" spans="1:10" s="45" customFormat="1" ht="33" customHeight="1" x14ac:dyDescent="0.25">
      <c r="A41" s="183" t="s">
        <v>149</v>
      </c>
      <c r="B41" s="50" t="s">
        <v>424</v>
      </c>
      <c r="C41" s="47">
        <f t="shared" si="0"/>
        <v>360</v>
      </c>
      <c r="D41" s="48">
        <v>0</v>
      </c>
      <c r="E41" s="48">
        <v>0</v>
      </c>
      <c r="F41" s="48">
        <f>20*2+10*6+10*3+20*1+15*14</f>
        <v>360</v>
      </c>
      <c r="G41" s="48">
        <v>0</v>
      </c>
      <c r="H41" s="49" t="s">
        <v>559</v>
      </c>
      <c r="I41" s="55"/>
    </row>
    <row r="42" spans="1:10" s="45" customFormat="1" ht="30" x14ac:dyDescent="0.25">
      <c r="A42" s="183" t="s">
        <v>150</v>
      </c>
      <c r="B42" s="184" t="s">
        <v>427</v>
      </c>
      <c r="C42" s="47">
        <f t="shared" si="0"/>
        <v>84</v>
      </c>
      <c r="D42" s="48">
        <v>0</v>
      </c>
      <c r="E42" s="48">
        <v>84</v>
      </c>
      <c r="F42" s="48">
        <v>0</v>
      </c>
      <c r="G42" s="48">
        <v>0</v>
      </c>
      <c r="H42" s="179" t="s">
        <v>494</v>
      </c>
      <c r="I42" s="38"/>
    </row>
    <row r="43" spans="1:10" s="45" customFormat="1" ht="18.75" customHeight="1" x14ac:dyDescent="0.25">
      <c r="A43" s="183" t="s">
        <v>151</v>
      </c>
      <c r="B43" s="236" t="s">
        <v>617</v>
      </c>
      <c r="C43" s="216"/>
      <c r="D43" s="216"/>
      <c r="E43" s="216"/>
      <c r="F43" s="216"/>
      <c r="G43" s="216"/>
      <c r="H43" s="217"/>
      <c r="I43" s="38"/>
    </row>
    <row r="44" spans="1:10" s="45" customFormat="1" ht="33.75" customHeight="1" x14ac:dyDescent="0.25">
      <c r="A44" s="183" t="s">
        <v>152</v>
      </c>
      <c r="B44" s="50" t="s">
        <v>428</v>
      </c>
      <c r="C44" s="47">
        <f t="shared" si="0"/>
        <v>9497.5</v>
      </c>
      <c r="D44" s="48">
        <v>0</v>
      </c>
      <c r="E44" s="48">
        <v>0</v>
      </c>
      <c r="F44" s="48">
        <v>0</v>
      </c>
      <c r="G44" s="48">
        <v>9497.5</v>
      </c>
      <c r="H44" s="43" t="s">
        <v>511</v>
      </c>
      <c r="I44" s="38"/>
    </row>
    <row r="45" spans="1:10" s="45" customFormat="1" ht="120" x14ac:dyDescent="0.25">
      <c r="A45" s="183" t="s">
        <v>153</v>
      </c>
      <c r="B45" s="50" t="s">
        <v>154</v>
      </c>
      <c r="C45" s="47">
        <f t="shared" si="0"/>
        <v>400.88000000000005</v>
      </c>
      <c r="D45" s="48">
        <v>0</v>
      </c>
      <c r="E45" s="48">
        <v>68.599999999999994</v>
      </c>
      <c r="F45" s="48">
        <f>262.98+45</f>
        <v>307.98</v>
      </c>
      <c r="G45" s="48">
        <v>24.3</v>
      </c>
      <c r="H45" s="43" t="s">
        <v>553</v>
      </c>
      <c r="I45" s="116"/>
    </row>
    <row r="46" spans="1:10" s="45" customFormat="1" ht="60" x14ac:dyDescent="0.25">
      <c r="A46" s="183" t="s">
        <v>155</v>
      </c>
      <c r="B46" s="50" t="s">
        <v>156</v>
      </c>
      <c r="C46" s="47">
        <f t="shared" si="0"/>
        <v>613.33000000000004</v>
      </c>
      <c r="D46" s="48">
        <v>0</v>
      </c>
      <c r="E46" s="48">
        <v>0</v>
      </c>
      <c r="F46" s="48">
        <v>521.33000000000004</v>
      </c>
      <c r="G46" s="48">
        <v>92</v>
      </c>
      <c r="H46" s="43" t="s">
        <v>554</v>
      </c>
      <c r="I46" s="119"/>
    </row>
    <row r="47" spans="1:10" s="45" customFormat="1" ht="17.25" customHeight="1" x14ac:dyDescent="0.25">
      <c r="A47" s="183" t="s">
        <v>157</v>
      </c>
      <c r="B47" s="50" t="s">
        <v>101</v>
      </c>
      <c r="C47" s="47">
        <f t="shared" si="0"/>
        <v>0</v>
      </c>
      <c r="D47" s="48">
        <v>0</v>
      </c>
      <c r="E47" s="48">
        <v>0</v>
      </c>
      <c r="F47" s="48">
        <v>0</v>
      </c>
      <c r="G47" s="48">
        <v>0</v>
      </c>
      <c r="H47" s="43"/>
      <c r="I47" s="119"/>
    </row>
    <row r="48" spans="1:10" s="45" customFormat="1" ht="90" x14ac:dyDescent="0.25">
      <c r="A48" s="181" t="s">
        <v>158</v>
      </c>
      <c r="B48" s="182" t="s">
        <v>426</v>
      </c>
      <c r="C48" s="47">
        <f t="shared" si="0"/>
        <v>1322.0128300000001</v>
      </c>
      <c r="D48" s="48">
        <f>131.01928+114.09646</f>
        <v>245.11574000000002</v>
      </c>
      <c r="E48" s="48">
        <v>464.49484999999999</v>
      </c>
      <c r="F48" s="48">
        <v>0</v>
      </c>
      <c r="G48" s="48">
        <v>612.40224000000001</v>
      </c>
      <c r="H48" s="49" t="s">
        <v>566</v>
      </c>
      <c r="I48" s="117"/>
    </row>
    <row r="49" spans="1:9" s="56" customFormat="1" x14ac:dyDescent="0.25">
      <c r="A49" s="234" t="s">
        <v>159</v>
      </c>
      <c r="B49" s="234"/>
      <c r="C49" s="234"/>
      <c r="D49" s="234"/>
      <c r="E49" s="234"/>
      <c r="F49" s="234"/>
      <c r="G49" s="234"/>
      <c r="H49" s="234"/>
      <c r="I49" s="119"/>
    </row>
    <row r="50" spans="1:9" s="45" customFormat="1" x14ac:dyDescent="0.25">
      <c r="A50" s="232" t="s">
        <v>160</v>
      </c>
      <c r="B50" s="232"/>
      <c r="C50" s="232"/>
      <c r="D50" s="232"/>
      <c r="E50" s="232"/>
      <c r="F50" s="232"/>
      <c r="G50" s="232"/>
      <c r="H50" s="232"/>
      <c r="I50" s="119"/>
    </row>
    <row r="51" spans="1:9" s="45" customFormat="1" ht="15.75" customHeight="1" x14ac:dyDescent="0.25">
      <c r="A51" s="235" t="s">
        <v>418</v>
      </c>
      <c r="B51" s="235"/>
      <c r="C51" s="235"/>
      <c r="D51" s="235"/>
      <c r="E51" s="235"/>
      <c r="F51" s="235"/>
      <c r="G51" s="235"/>
      <c r="H51" s="235"/>
      <c r="I51" s="119"/>
    </row>
    <row r="52" spans="1:9" s="45" customFormat="1" ht="30" x14ac:dyDescent="0.25">
      <c r="A52" s="181" t="s">
        <v>161</v>
      </c>
      <c r="B52" s="182" t="s">
        <v>162</v>
      </c>
      <c r="C52" s="47">
        <f>SUM(D52:G52)</f>
        <v>379</v>
      </c>
      <c r="D52" s="48">
        <v>0</v>
      </c>
      <c r="E52" s="48">
        <v>379</v>
      </c>
      <c r="F52" s="48">
        <v>0</v>
      </c>
      <c r="G52" s="48">
        <v>0</v>
      </c>
      <c r="H52" s="49" t="s">
        <v>494</v>
      </c>
      <c r="I52" s="117"/>
    </row>
    <row r="53" spans="1:9" s="45" customFormat="1" ht="31.5" customHeight="1" x14ac:dyDescent="0.25">
      <c r="A53" s="181" t="s">
        <v>31</v>
      </c>
      <c r="B53" s="182" t="s">
        <v>163</v>
      </c>
      <c r="C53" s="47">
        <f>SUM(D53:G53)</f>
        <v>185.97000000000003</v>
      </c>
      <c r="D53" s="48">
        <v>0</v>
      </c>
      <c r="E53" s="48">
        <v>0</v>
      </c>
      <c r="F53" s="48">
        <v>0</v>
      </c>
      <c r="G53" s="48">
        <f>67.05+53.85+9+33.27+22.8</f>
        <v>185.97000000000003</v>
      </c>
      <c r="H53" s="49" t="s">
        <v>577</v>
      </c>
      <c r="I53" s="38"/>
    </row>
    <row r="54" spans="1:9" s="45" customFormat="1" x14ac:dyDescent="0.25">
      <c r="A54" s="183" t="s">
        <v>164</v>
      </c>
      <c r="B54" s="50" t="s">
        <v>165</v>
      </c>
      <c r="C54" s="47">
        <f>SUM(D54:G54)</f>
        <v>0</v>
      </c>
      <c r="D54" s="48">
        <v>0</v>
      </c>
      <c r="E54" s="48">
        <v>0</v>
      </c>
      <c r="F54" s="48">
        <v>0</v>
      </c>
      <c r="G54" s="48">
        <v>0</v>
      </c>
      <c r="H54" s="43" t="s">
        <v>118</v>
      </c>
      <c r="I54" s="38"/>
    </row>
    <row r="55" spans="1:9" s="45" customFormat="1" x14ac:dyDescent="0.25">
      <c r="A55" s="233" t="s">
        <v>419</v>
      </c>
      <c r="B55" s="233"/>
      <c r="C55" s="233"/>
      <c r="D55" s="233"/>
      <c r="E55" s="233"/>
      <c r="F55" s="233"/>
      <c r="G55" s="233"/>
      <c r="H55" s="233"/>
      <c r="I55" s="38"/>
    </row>
    <row r="56" spans="1:9" s="45" customFormat="1" ht="62.25" customHeight="1" x14ac:dyDescent="0.25">
      <c r="A56" s="181" t="s">
        <v>166</v>
      </c>
      <c r="B56" s="182" t="s">
        <v>167</v>
      </c>
      <c r="C56" s="47">
        <f>SUM(D56:G56)</f>
        <v>53302.399999999994</v>
      </c>
      <c r="D56" s="185">
        <v>15849.8</v>
      </c>
      <c r="E56" s="185">
        <f>14914.3+6473.9+14263.1+796</f>
        <v>36447.299999999996</v>
      </c>
      <c r="F56" s="185">
        <f>929.3+40.6+35.4</f>
        <v>1005.3</v>
      </c>
      <c r="G56" s="48">
        <v>0</v>
      </c>
      <c r="H56" s="49" t="s">
        <v>532</v>
      </c>
      <c r="I56" s="55"/>
    </row>
    <row r="57" spans="1:9" s="45" customFormat="1" ht="31.5" customHeight="1" x14ac:dyDescent="0.25">
      <c r="A57" s="121" t="s">
        <v>168</v>
      </c>
      <c r="B57" s="66" t="s">
        <v>169</v>
      </c>
      <c r="C57" s="47">
        <f>SUM(D57:G57)</f>
        <v>431.96199999999999</v>
      </c>
      <c r="D57" s="48">
        <v>0</v>
      </c>
      <c r="E57" s="48">
        <v>0</v>
      </c>
      <c r="F57" s="48">
        <v>0</v>
      </c>
      <c r="G57" s="48">
        <v>431.96199999999999</v>
      </c>
      <c r="H57" s="49" t="s">
        <v>578</v>
      </c>
      <c r="I57" s="38"/>
    </row>
    <row r="58" spans="1:9" s="45" customFormat="1" x14ac:dyDescent="0.25">
      <c r="A58" s="255" t="s">
        <v>420</v>
      </c>
      <c r="B58" s="255"/>
      <c r="C58" s="255"/>
      <c r="D58" s="255"/>
      <c r="E58" s="255"/>
      <c r="F58" s="255"/>
      <c r="G58" s="255"/>
      <c r="H58" s="255"/>
      <c r="I58" s="38"/>
    </row>
    <row r="59" spans="1:9" s="45" customFormat="1" ht="30" customHeight="1" x14ac:dyDescent="0.25">
      <c r="A59" s="121" t="s">
        <v>170</v>
      </c>
      <c r="B59" s="66" t="s">
        <v>171</v>
      </c>
      <c r="C59" s="47">
        <f>SUM(D59:G59)</f>
        <v>400</v>
      </c>
      <c r="D59" s="48">
        <v>0</v>
      </c>
      <c r="E59" s="48">
        <f>200+200</f>
        <v>400</v>
      </c>
      <c r="F59" s="48">
        <v>0</v>
      </c>
      <c r="G59" s="48">
        <v>0</v>
      </c>
      <c r="H59" s="49" t="s">
        <v>496</v>
      </c>
      <c r="I59" s="38"/>
    </row>
    <row r="60" spans="1:9" s="45" customFormat="1" ht="59.25" customHeight="1" x14ac:dyDescent="0.25">
      <c r="A60" s="121" t="s">
        <v>172</v>
      </c>
      <c r="B60" s="66" t="s">
        <v>173</v>
      </c>
      <c r="C60" s="47">
        <f>SUM(D60:G60)</f>
        <v>1105</v>
      </c>
      <c r="D60" s="48">
        <v>0</v>
      </c>
      <c r="E60" s="48">
        <v>0</v>
      </c>
      <c r="F60" s="48">
        <f>319+386</f>
        <v>705</v>
      </c>
      <c r="G60" s="48">
        <v>400</v>
      </c>
      <c r="H60" s="49" t="s">
        <v>579</v>
      </c>
      <c r="I60" s="55"/>
    </row>
    <row r="61" spans="1:9" s="45" customFormat="1" x14ac:dyDescent="0.25">
      <c r="A61" s="218" t="s">
        <v>421</v>
      </c>
      <c r="B61" s="219"/>
      <c r="C61" s="219"/>
      <c r="D61" s="219"/>
      <c r="E61" s="219"/>
      <c r="F61" s="219"/>
      <c r="G61" s="219"/>
      <c r="H61" s="220"/>
      <c r="I61" s="38"/>
    </row>
    <row r="62" spans="1:9" s="45" customFormat="1" ht="30" x14ac:dyDescent="0.25">
      <c r="A62" s="178" t="s">
        <v>174</v>
      </c>
      <c r="B62" s="42" t="s">
        <v>422</v>
      </c>
      <c r="C62" s="47">
        <f>SUM(D62:G62)</f>
        <v>324.60000000000002</v>
      </c>
      <c r="D62" s="48">
        <v>0</v>
      </c>
      <c r="E62" s="48">
        <v>0</v>
      </c>
      <c r="F62" s="48">
        <v>0</v>
      </c>
      <c r="G62" s="186">
        <v>324.60000000000002</v>
      </c>
      <c r="H62" s="43" t="s">
        <v>533</v>
      </c>
      <c r="I62" s="38"/>
    </row>
    <row r="63" spans="1:9" s="45" customFormat="1" ht="30" customHeight="1" x14ac:dyDescent="0.25">
      <c r="A63" s="178" t="s">
        <v>175</v>
      </c>
      <c r="B63" s="42" t="s">
        <v>423</v>
      </c>
      <c r="C63" s="47">
        <f>SUM(D63:G63)</f>
        <v>1099.54</v>
      </c>
      <c r="D63" s="48">
        <v>0</v>
      </c>
      <c r="E63" s="48">
        <v>0</v>
      </c>
      <c r="F63" s="48">
        <v>0</v>
      </c>
      <c r="G63" s="48">
        <f>399.54+700</f>
        <v>1099.54</v>
      </c>
      <c r="H63" s="49" t="s">
        <v>533</v>
      </c>
      <c r="I63" s="38"/>
    </row>
    <row r="64" spans="1:9" s="45" customFormat="1" ht="33" customHeight="1" x14ac:dyDescent="0.25">
      <c r="A64" s="178" t="s">
        <v>176</v>
      </c>
      <c r="B64" s="42" t="s">
        <v>177</v>
      </c>
      <c r="C64" s="47">
        <f>SUM(D64:G64)</f>
        <v>8568.2340000000004</v>
      </c>
      <c r="D64" s="48">
        <f>D65+D66</f>
        <v>0</v>
      </c>
      <c r="E64" s="48">
        <f>E65+E66</f>
        <v>4892.8999999999996</v>
      </c>
      <c r="F64" s="48">
        <f>F65+F66</f>
        <v>0</v>
      </c>
      <c r="G64" s="48">
        <f>G65+G66</f>
        <v>3675.3339999999998</v>
      </c>
      <c r="H64" s="43"/>
      <c r="I64" s="38"/>
    </row>
    <row r="65" spans="1:11" s="45" customFormat="1" ht="91.5" customHeight="1" x14ac:dyDescent="0.25">
      <c r="A65" s="178" t="s">
        <v>178</v>
      </c>
      <c r="B65" s="42" t="s">
        <v>424</v>
      </c>
      <c r="C65" s="47">
        <f>SUM(D65:G65)</f>
        <v>8503.2340000000004</v>
      </c>
      <c r="D65" s="48">
        <v>0</v>
      </c>
      <c r="E65" s="48">
        <v>4892.8999999999996</v>
      </c>
      <c r="F65" s="48">
        <v>0</v>
      </c>
      <c r="G65" s="48">
        <f>2116.064+1494.27</f>
        <v>3610.3339999999998</v>
      </c>
      <c r="H65" s="49" t="s">
        <v>580</v>
      </c>
      <c r="I65" s="38"/>
    </row>
    <row r="66" spans="1:11" s="45" customFormat="1" ht="45" customHeight="1" x14ac:dyDescent="0.25">
      <c r="A66" s="178" t="s">
        <v>179</v>
      </c>
      <c r="B66" s="42" t="s">
        <v>425</v>
      </c>
      <c r="C66" s="47">
        <f>SUM(D66:G66)</f>
        <v>65</v>
      </c>
      <c r="D66" s="48">
        <v>0</v>
      </c>
      <c r="E66" s="48">
        <v>0</v>
      </c>
      <c r="F66" s="48">
        <v>0</v>
      </c>
      <c r="G66" s="48">
        <v>65</v>
      </c>
      <c r="H66" s="43" t="s">
        <v>495</v>
      </c>
      <c r="I66" s="38"/>
    </row>
    <row r="67" spans="1:11" s="45" customFormat="1" x14ac:dyDescent="0.25">
      <c r="A67" s="218" t="s">
        <v>429</v>
      </c>
      <c r="B67" s="219"/>
      <c r="C67" s="219"/>
      <c r="D67" s="219"/>
      <c r="E67" s="219"/>
      <c r="F67" s="219"/>
      <c r="G67" s="219"/>
      <c r="H67" s="220"/>
      <c r="I67" s="38"/>
    </row>
    <row r="68" spans="1:11" s="45" customFormat="1" x14ac:dyDescent="0.25">
      <c r="A68" s="178" t="s">
        <v>180</v>
      </c>
      <c r="B68" s="42" t="s">
        <v>181</v>
      </c>
      <c r="C68" s="47">
        <f t="shared" ref="C68:C75" si="1">SUM(D68:G68)</f>
        <v>0</v>
      </c>
      <c r="D68" s="48">
        <v>0</v>
      </c>
      <c r="E68" s="48">
        <v>0</v>
      </c>
      <c r="F68" s="48">
        <v>0</v>
      </c>
      <c r="G68" s="48">
        <v>0</v>
      </c>
      <c r="H68" s="43" t="s">
        <v>118</v>
      </c>
      <c r="I68" s="38"/>
    </row>
    <row r="69" spans="1:11" s="45" customFormat="1" ht="30" x14ac:dyDescent="0.25">
      <c r="A69" s="178" t="s">
        <v>182</v>
      </c>
      <c r="B69" s="42" t="s">
        <v>183</v>
      </c>
      <c r="C69" s="47">
        <f t="shared" si="1"/>
        <v>44068.165519999995</v>
      </c>
      <c r="D69" s="48">
        <f>D70+D71+D72</f>
        <v>0</v>
      </c>
      <c r="E69" s="48">
        <f>E70+E71+E72</f>
        <v>39425.510999999999</v>
      </c>
      <c r="F69" s="48">
        <f>F70+F71+F72</f>
        <v>1921.15452</v>
      </c>
      <c r="G69" s="48">
        <f>G70+G71+G72</f>
        <v>2721.5</v>
      </c>
      <c r="H69" s="42"/>
      <c r="I69" s="38"/>
    </row>
    <row r="70" spans="1:11" s="45" customFormat="1" ht="210.75" customHeight="1" x14ac:dyDescent="0.25">
      <c r="A70" s="178" t="s">
        <v>184</v>
      </c>
      <c r="B70" s="42" t="s">
        <v>424</v>
      </c>
      <c r="C70" s="47">
        <f t="shared" si="1"/>
        <v>34130.5</v>
      </c>
      <c r="D70" s="48">
        <v>0</v>
      </c>
      <c r="E70" s="48">
        <f>2492.5+1996.7+908+636.3+497.3+168.7+342.1+1454.8+410.5+21369.8</f>
        <v>30276.699999999997</v>
      </c>
      <c r="F70" s="48">
        <f>25.4+20.2+9.2+6.5+5+1.7+51.6+97.1+23.2+169.1+1013.3+431.5</f>
        <v>1853.8</v>
      </c>
      <c r="G70" s="48">
        <v>2000</v>
      </c>
      <c r="H70" s="49" t="s">
        <v>560</v>
      </c>
      <c r="I70" s="55"/>
      <c r="K70" s="38"/>
    </row>
    <row r="71" spans="1:11" s="45" customFormat="1" ht="75" customHeight="1" x14ac:dyDescent="0.25">
      <c r="A71" s="178" t="s">
        <v>185</v>
      </c>
      <c r="B71" s="42" t="s">
        <v>427</v>
      </c>
      <c r="C71" s="47">
        <f t="shared" si="1"/>
        <v>3206</v>
      </c>
      <c r="D71" s="48">
        <v>0</v>
      </c>
      <c r="E71" s="48">
        <v>2484.5</v>
      </c>
      <c r="F71" s="48">
        <v>0</v>
      </c>
      <c r="G71" s="48">
        <v>721.5</v>
      </c>
      <c r="H71" s="43" t="s">
        <v>504</v>
      </c>
      <c r="I71" s="38"/>
    </row>
    <row r="72" spans="1:11" s="45" customFormat="1" ht="62.25" customHeight="1" x14ac:dyDescent="0.25">
      <c r="A72" s="178" t="s">
        <v>523</v>
      </c>
      <c r="B72" s="42" t="s">
        <v>491</v>
      </c>
      <c r="C72" s="47">
        <f t="shared" si="1"/>
        <v>6731.6655199999996</v>
      </c>
      <c r="D72" s="48">
        <v>0</v>
      </c>
      <c r="E72" s="48">
        <v>6664.3109999999997</v>
      </c>
      <c r="F72" s="48">
        <v>67.354519999999994</v>
      </c>
      <c r="G72" s="48">
        <v>0</v>
      </c>
      <c r="H72" s="43" t="s">
        <v>524</v>
      </c>
      <c r="I72" s="38"/>
    </row>
    <row r="73" spans="1:11" s="45" customFormat="1" ht="33" customHeight="1" x14ac:dyDescent="0.25">
      <c r="A73" s="121" t="s">
        <v>186</v>
      </c>
      <c r="B73" s="66" t="s">
        <v>187</v>
      </c>
      <c r="C73" s="47">
        <f t="shared" si="1"/>
        <v>6080.7169999999996</v>
      </c>
      <c r="D73" s="48">
        <f>D74+D75</f>
        <v>0</v>
      </c>
      <c r="E73" s="48">
        <f>E74+E75</f>
        <v>2863.1</v>
      </c>
      <c r="F73" s="48">
        <f>F74+F75</f>
        <v>0</v>
      </c>
      <c r="G73" s="48">
        <f>G74+G75</f>
        <v>3217.6169999999997</v>
      </c>
      <c r="H73" s="66"/>
      <c r="I73" s="38"/>
    </row>
    <row r="74" spans="1:11" s="45" customFormat="1" ht="33" customHeight="1" x14ac:dyDescent="0.25">
      <c r="A74" s="121" t="s">
        <v>188</v>
      </c>
      <c r="B74" s="66" t="s">
        <v>424</v>
      </c>
      <c r="C74" s="47">
        <f t="shared" si="1"/>
        <v>3217.6169999999997</v>
      </c>
      <c r="D74" s="48">
        <v>0</v>
      </c>
      <c r="E74" s="48">
        <v>0</v>
      </c>
      <c r="F74" s="48">
        <v>0</v>
      </c>
      <c r="G74" s="48">
        <f>866.807+866.15+979.66+505</f>
        <v>3217.6169999999997</v>
      </c>
      <c r="H74" s="49" t="s">
        <v>534</v>
      </c>
      <c r="I74" s="38"/>
    </row>
    <row r="75" spans="1:11" s="45" customFormat="1" ht="30" x14ac:dyDescent="0.25">
      <c r="A75" s="121" t="s">
        <v>189</v>
      </c>
      <c r="B75" s="66" t="s">
        <v>427</v>
      </c>
      <c r="C75" s="47">
        <f t="shared" si="1"/>
        <v>2863.1</v>
      </c>
      <c r="D75" s="48">
        <v>0</v>
      </c>
      <c r="E75" s="48">
        <v>2863.1</v>
      </c>
      <c r="F75" s="48">
        <v>0</v>
      </c>
      <c r="G75" s="48">
        <v>0</v>
      </c>
      <c r="H75" s="49" t="s">
        <v>496</v>
      </c>
      <c r="I75" s="38"/>
    </row>
    <row r="76" spans="1:11" s="45" customFormat="1" x14ac:dyDescent="0.25">
      <c r="A76" s="243" t="s">
        <v>190</v>
      </c>
      <c r="B76" s="244"/>
      <c r="C76" s="244"/>
      <c r="D76" s="244"/>
      <c r="E76" s="244"/>
      <c r="F76" s="244"/>
      <c r="G76" s="244"/>
      <c r="H76" s="245"/>
      <c r="I76" s="38"/>
    </row>
    <row r="77" spans="1:11" s="45" customFormat="1" x14ac:dyDescent="0.25">
      <c r="A77" s="226" t="s">
        <v>430</v>
      </c>
      <c r="B77" s="227"/>
      <c r="C77" s="227"/>
      <c r="D77" s="227"/>
      <c r="E77" s="227"/>
      <c r="F77" s="227"/>
      <c r="G77" s="227"/>
      <c r="H77" s="228"/>
      <c r="I77" s="38"/>
    </row>
    <row r="78" spans="1:11" s="45" customFormat="1" ht="75" x14ac:dyDescent="0.25">
      <c r="A78" s="187" t="s">
        <v>191</v>
      </c>
      <c r="B78" s="66" t="s">
        <v>192</v>
      </c>
      <c r="C78" s="47">
        <f>SUM(D78:G78)</f>
        <v>1487.4796999999999</v>
      </c>
      <c r="D78" s="48">
        <v>939.1</v>
      </c>
      <c r="E78" s="48">
        <v>405.2</v>
      </c>
      <c r="F78" s="48">
        <v>0</v>
      </c>
      <c r="G78" s="48">
        <v>143.17970000000003</v>
      </c>
      <c r="H78" s="49" t="s">
        <v>567</v>
      </c>
      <c r="I78" s="38"/>
    </row>
    <row r="79" spans="1:11" s="45" customFormat="1" x14ac:dyDescent="0.25">
      <c r="A79" s="226" t="s">
        <v>431</v>
      </c>
      <c r="B79" s="227"/>
      <c r="C79" s="227"/>
      <c r="D79" s="227"/>
      <c r="E79" s="227"/>
      <c r="F79" s="227"/>
      <c r="G79" s="227"/>
      <c r="H79" s="228"/>
      <c r="I79" s="38"/>
    </row>
    <row r="80" spans="1:11" s="45" customFormat="1" ht="60.75" customHeight="1" x14ac:dyDescent="0.25">
      <c r="A80" s="121" t="s">
        <v>193</v>
      </c>
      <c r="B80" s="66" t="s">
        <v>194</v>
      </c>
      <c r="C80" s="47">
        <f>SUM(D80:G80)</f>
        <v>64079.37745</v>
      </c>
      <c r="D80" s="48">
        <v>63890.065999999999</v>
      </c>
      <c r="E80" s="48">
        <v>0</v>
      </c>
      <c r="F80" s="48">
        <v>0</v>
      </c>
      <c r="G80" s="48">
        <v>189.31145000000001</v>
      </c>
      <c r="H80" s="188" t="s">
        <v>568</v>
      </c>
      <c r="I80" s="38"/>
    </row>
    <row r="81" spans="1:9" s="45" customFormat="1" ht="122.25" customHeight="1" x14ac:dyDescent="0.25">
      <c r="A81" s="121" t="s">
        <v>195</v>
      </c>
      <c r="B81" s="66" t="s">
        <v>196</v>
      </c>
      <c r="C81" s="47">
        <f>SUM(D81:G81)</f>
        <v>170318.74627</v>
      </c>
      <c r="D81" s="48">
        <f>31753.2+112126.93438</f>
        <v>143880.13438</v>
      </c>
      <c r="E81" s="48">
        <v>26240.811890000001</v>
      </c>
      <c r="F81" s="48">
        <v>0</v>
      </c>
      <c r="G81" s="48">
        <v>197.8</v>
      </c>
      <c r="H81" s="49" t="s">
        <v>569</v>
      </c>
      <c r="I81" s="120"/>
    </row>
    <row r="82" spans="1:9" s="45" customFormat="1" ht="60" x14ac:dyDescent="0.25">
      <c r="A82" s="121" t="s">
        <v>197</v>
      </c>
      <c r="B82" s="66" t="s">
        <v>198</v>
      </c>
      <c r="C82" s="47">
        <f>SUM(D82:G82)</f>
        <v>71980.832800000004</v>
      </c>
      <c r="D82" s="48">
        <v>0</v>
      </c>
      <c r="E82" s="48">
        <v>68383.832800000004</v>
      </c>
      <c r="F82" s="48">
        <v>0</v>
      </c>
      <c r="G82" s="48">
        <v>3597</v>
      </c>
      <c r="H82" s="49" t="s">
        <v>570</v>
      </c>
      <c r="I82" s="38"/>
    </row>
    <row r="83" spans="1:9" s="45" customFormat="1" x14ac:dyDescent="0.25">
      <c r="A83" s="226" t="s">
        <v>432</v>
      </c>
      <c r="B83" s="227"/>
      <c r="C83" s="227"/>
      <c r="D83" s="227"/>
      <c r="E83" s="227"/>
      <c r="F83" s="227"/>
      <c r="G83" s="227"/>
      <c r="H83" s="228"/>
      <c r="I83" s="38"/>
    </row>
    <row r="84" spans="1:9" s="45" customFormat="1" ht="120" x14ac:dyDescent="0.25">
      <c r="A84" s="121" t="s">
        <v>199</v>
      </c>
      <c r="B84" s="66" t="s">
        <v>200</v>
      </c>
      <c r="C84" s="47">
        <f>SUM(D84:G84)</f>
        <v>85187.942689999996</v>
      </c>
      <c r="D84" s="48">
        <f>43382+2325.66534</f>
        <v>45707.66534</v>
      </c>
      <c r="E84" s="48">
        <v>38796.803099999997</v>
      </c>
      <c r="F84" s="48">
        <v>0</v>
      </c>
      <c r="G84" s="48">
        <v>683.47424999999998</v>
      </c>
      <c r="H84" s="49" t="s">
        <v>572</v>
      </c>
      <c r="I84" s="38"/>
    </row>
    <row r="85" spans="1:9" s="45" customFormat="1" x14ac:dyDescent="0.25">
      <c r="A85" s="226" t="s">
        <v>433</v>
      </c>
      <c r="B85" s="227"/>
      <c r="C85" s="227"/>
      <c r="D85" s="227"/>
      <c r="E85" s="227"/>
      <c r="F85" s="227"/>
      <c r="G85" s="227"/>
      <c r="H85" s="228"/>
      <c r="I85" s="38"/>
    </row>
    <row r="86" spans="1:9" s="45" customFormat="1" ht="90" x14ac:dyDescent="0.25">
      <c r="A86" s="121" t="s">
        <v>201</v>
      </c>
      <c r="B86" s="66" t="s">
        <v>434</v>
      </c>
      <c r="C86" s="47">
        <f>SUM(D86:G86)</f>
        <v>26250.289120000001</v>
      </c>
      <c r="D86" s="48">
        <v>26250.289120000001</v>
      </c>
      <c r="E86" s="48">
        <v>0</v>
      </c>
      <c r="F86" s="48">
        <v>0</v>
      </c>
      <c r="G86" s="48">
        <v>0</v>
      </c>
      <c r="H86" s="49" t="s">
        <v>571</v>
      </c>
      <c r="I86" s="38"/>
    </row>
    <row r="87" spans="1:9" s="45" customFormat="1" x14ac:dyDescent="0.25">
      <c r="A87" s="218" t="s">
        <v>435</v>
      </c>
      <c r="B87" s="219"/>
      <c r="C87" s="219"/>
      <c r="D87" s="219"/>
      <c r="E87" s="219"/>
      <c r="F87" s="219"/>
      <c r="G87" s="219"/>
      <c r="H87" s="220"/>
      <c r="I87" s="38"/>
    </row>
    <row r="88" spans="1:9" s="45" customFormat="1" ht="77.25" customHeight="1" x14ac:dyDescent="0.25">
      <c r="A88" s="121" t="s">
        <v>202</v>
      </c>
      <c r="B88" s="66" t="s">
        <v>203</v>
      </c>
      <c r="C88" s="47">
        <f>SUM(D88:G88)</f>
        <v>14838.384</v>
      </c>
      <c r="D88" s="48">
        <v>0</v>
      </c>
      <c r="E88" s="48">
        <v>0</v>
      </c>
      <c r="F88" s="48">
        <v>13699.52</v>
      </c>
      <c r="G88" s="48">
        <f>445.3+120+110+210.68+180.84+72.044</f>
        <v>1138.864</v>
      </c>
      <c r="H88" s="49" t="s">
        <v>555</v>
      </c>
      <c r="I88" s="55"/>
    </row>
    <row r="89" spans="1:9" s="45" customFormat="1" ht="60" x14ac:dyDescent="0.25">
      <c r="A89" s="121" t="s">
        <v>204</v>
      </c>
      <c r="B89" s="66" t="s">
        <v>205</v>
      </c>
      <c r="C89" s="47">
        <f>SUM(D89:G89)</f>
        <v>1578.3</v>
      </c>
      <c r="D89" s="48">
        <v>0</v>
      </c>
      <c r="E89" s="48">
        <v>1378.3</v>
      </c>
      <c r="F89" s="48">
        <v>0</v>
      </c>
      <c r="G89" s="48">
        <v>200</v>
      </c>
      <c r="H89" s="49" t="s">
        <v>581</v>
      </c>
      <c r="I89" s="55"/>
    </row>
    <row r="90" spans="1:9" s="45" customFormat="1" ht="63.75" customHeight="1" x14ac:dyDescent="0.25">
      <c r="A90" s="121" t="s">
        <v>206</v>
      </c>
      <c r="B90" s="66" t="s">
        <v>540</v>
      </c>
      <c r="C90" s="47">
        <f>SUM(D90:G90)</f>
        <v>5837.6</v>
      </c>
      <c r="D90" s="48">
        <v>0</v>
      </c>
      <c r="E90" s="48">
        <v>3150</v>
      </c>
      <c r="F90" s="48">
        <f>2655.6+32</f>
        <v>2687.6</v>
      </c>
      <c r="G90" s="48">
        <v>0</v>
      </c>
      <c r="H90" s="49" t="s">
        <v>556</v>
      </c>
      <c r="I90" s="38"/>
    </row>
    <row r="91" spans="1:9" s="45" customFormat="1" ht="33" customHeight="1" x14ac:dyDescent="0.25">
      <c r="A91" s="121" t="s">
        <v>207</v>
      </c>
      <c r="B91" s="66" t="s">
        <v>208</v>
      </c>
      <c r="C91" s="47">
        <f>SUM(D91:G91)</f>
        <v>158.1</v>
      </c>
      <c r="D91" s="48">
        <v>0</v>
      </c>
      <c r="E91" s="48">
        <v>0</v>
      </c>
      <c r="F91" s="48">
        <v>158.1</v>
      </c>
      <c r="G91" s="48">
        <v>0</v>
      </c>
      <c r="H91" s="49" t="s">
        <v>557</v>
      </c>
      <c r="I91" s="38"/>
    </row>
    <row r="92" spans="1:9" s="45" customFormat="1" ht="63" customHeight="1" x14ac:dyDescent="0.25">
      <c r="A92" s="121" t="s">
        <v>209</v>
      </c>
      <c r="B92" s="66" t="s">
        <v>210</v>
      </c>
      <c r="C92" s="47">
        <f>SUM(D92:G92)</f>
        <v>1265.8</v>
      </c>
      <c r="D92" s="48">
        <v>0</v>
      </c>
      <c r="E92" s="48">
        <v>0</v>
      </c>
      <c r="F92" s="48">
        <f>334.5+489.5+141.8</f>
        <v>965.8</v>
      </c>
      <c r="G92" s="48">
        <v>300</v>
      </c>
      <c r="H92" s="49" t="s">
        <v>599</v>
      </c>
      <c r="I92" s="38"/>
    </row>
    <row r="93" spans="1:9" s="45" customFormat="1" x14ac:dyDescent="0.25">
      <c r="A93" s="226" t="s">
        <v>436</v>
      </c>
      <c r="B93" s="227"/>
      <c r="C93" s="227"/>
      <c r="D93" s="227"/>
      <c r="E93" s="227"/>
      <c r="F93" s="227"/>
      <c r="G93" s="227"/>
      <c r="H93" s="228"/>
      <c r="I93" s="38"/>
    </row>
    <row r="94" spans="1:9" s="45" customFormat="1" ht="61.5" customHeight="1" x14ac:dyDescent="0.25">
      <c r="A94" s="121" t="s">
        <v>211</v>
      </c>
      <c r="B94" s="66" t="s">
        <v>212</v>
      </c>
      <c r="C94" s="47">
        <f>SUM(D94:G94)</f>
        <v>1103.5899999999999</v>
      </c>
      <c r="D94" s="48">
        <v>0</v>
      </c>
      <c r="E94" s="48">
        <v>805</v>
      </c>
      <c r="F94" s="48">
        <f>290.39+8.2</f>
        <v>298.58999999999997</v>
      </c>
      <c r="G94" s="48">
        <v>0</v>
      </c>
      <c r="H94" s="49" t="s">
        <v>558</v>
      </c>
      <c r="I94" s="38"/>
    </row>
    <row r="95" spans="1:9" s="45" customFormat="1" x14ac:dyDescent="0.25">
      <c r="A95" s="218" t="s">
        <v>437</v>
      </c>
      <c r="B95" s="219"/>
      <c r="C95" s="219"/>
      <c r="D95" s="219"/>
      <c r="E95" s="219"/>
      <c r="F95" s="219"/>
      <c r="G95" s="219"/>
      <c r="H95" s="220"/>
      <c r="I95" s="38"/>
    </row>
    <row r="96" spans="1:9" s="45" customFormat="1" ht="90" customHeight="1" x14ac:dyDescent="0.25">
      <c r="A96" s="121" t="s">
        <v>213</v>
      </c>
      <c r="B96" s="66" t="s">
        <v>214</v>
      </c>
      <c r="C96" s="47">
        <f>SUM(D96:G96)</f>
        <v>18251.235110000005</v>
      </c>
      <c r="D96" s="48">
        <v>0</v>
      </c>
      <c r="E96" s="48">
        <f>2086+5160.2</f>
        <v>7246.2</v>
      </c>
      <c r="F96" s="48">
        <f>6436.68+21.141+330.255+1972.13286+1656.99975+18.29+196.6905</f>
        <v>10632.189110000003</v>
      </c>
      <c r="G96" s="48">
        <f>77.846+95+100+100</f>
        <v>372.846</v>
      </c>
      <c r="H96" s="49" t="s">
        <v>582</v>
      </c>
      <c r="I96" s="38"/>
    </row>
    <row r="97" spans="1:10" s="45" customFormat="1" x14ac:dyDescent="0.25">
      <c r="A97" s="226" t="s">
        <v>438</v>
      </c>
      <c r="B97" s="227"/>
      <c r="C97" s="227"/>
      <c r="D97" s="227"/>
      <c r="E97" s="227"/>
      <c r="F97" s="227"/>
      <c r="G97" s="227"/>
      <c r="H97" s="228"/>
      <c r="I97" s="38"/>
    </row>
    <row r="98" spans="1:10" s="45" customFormat="1" ht="32.25" customHeight="1" x14ac:dyDescent="0.25">
      <c r="A98" s="121" t="s">
        <v>215</v>
      </c>
      <c r="B98" s="66" t="s">
        <v>216</v>
      </c>
      <c r="C98" s="47">
        <f>SUM(D98:G98)</f>
        <v>13371.315709999999</v>
      </c>
      <c r="D98" s="48">
        <v>0</v>
      </c>
      <c r="E98" s="48">
        <v>0</v>
      </c>
      <c r="F98" s="48">
        <f xml:space="preserve"> 3371.31571+10000</f>
        <v>13371.315709999999</v>
      </c>
      <c r="G98" s="48">
        <v>0</v>
      </c>
      <c r="H98" s="49" t="s">
        <v>525</v>
      </c>
      <c r="I98" s="38"/>
    </row>
    <row r="99" spans="1:10" s="45" customFormat="1" ht="166.5" customHeight="1" x14ac:dyDescent="0.25">
      <c r="A99" s="121" t="s">
        <v>217</v>
      </c>
      <c r="B99" s="66" t="s">
        <v>218</v>
      </c>
      <c r="C99" s="47">
        <f>SUM(D99:G99)</f>
        <v>5306.9246600000006</v>
      </c>
      <c r="D99" s="48">
        <v>0</v>
      </c>
      <c r="E99" s="48">
        <f>2569</f>
        <v>2569</v>
      </c>
      <c r="F99" s="48">
        <f>152.1739+471.42833+563.32243+198</f>
        <v>1384.9246600000001</v>
      </c>
      <c r="G99" s="48">
        <f>303+1050</f>
        <v>1353</v>
      </c>
      <c r="H99" s="49" t="s">
        <v>583</v>
      </c>
      <c r="I99" s="38"/>
    </row>
    <row r="100" spans="1:10" s="45" customFormat="1" ht="60" customHeight="1" x14ac:dyDescent="0.25">
      <c r="A100" s="178" t="s">
        <v>219</v>
      </c>
      <c r="B100" s="42" t="s">
        <v>220</v>
      </c>
      <c r="C100" s="47">
        <f>SUM(D100:G100)</f>
        <v>11886.513589999999</v>
      </c>
      <c r="D100" s="48">
        <v>0</v>
      </c>
      <c r="E100" s="48">
        <v>7900.8984099999998</v>
      </c>
      <c r="F100" s="48">
        <f>2232.72186+1752.89332</f>
        <v>3985.6151799999998</v>
      </c>
      <c r="G100" s="48">
        <v>0</v>
      </c>
      <c r="H100" s="43" t="s">
        <v>526</v>
      </c>
      <c r="I100" s="38"/>
    </row>
    <row r="101" spans="1:10" s="45" customFormat="1" x14ac:dyDescent="0.25">
      <c r="A101" s="252" t="s">
        <v>439</v>
      </c>
      <c r="B101" s="253"/>
      <c r="C101" s="253"/>
      <c r="D101" s="253"/>
      <c r="E101" s="253"/>
      <c r="F101" s="253"/>
      <c r="G101" s="253"/>
      <c r="H101" s="254"/>
      <c r="I101" s="38"/>
    </row>
    <row r="102" spans="1:10" s="45" customFormat="1" x14ac:dyDescent="0.25">
      <c r="A102" s="218" t="s">
        <v>440</v>
      </c>
      <c r="B102" s="219"/>
      <c r="C102" s="219"/>
      <c r="D102" s="219"/>
      <c r="E102" s="219"/>
      <c r="F102" s="219"/>
      <c r="G102" s="219"/>
      <c r="H102" s="220"/>
      <c r="I102" s="38"/>
    </row>
    <row r="103" spans="1:10" s="45" customFormat="1" ht="34.5" customHeight="1" x14ac:dyDescent="0.25">
      <c r="A103" s="178" t="s">
        <v>221</v>
      </c>
      <c r="B103" s="42" t="s">
        <v>222</v>
      </c>
      <c r="C103" s="44">
        <f t="shared" ref="C103:G103" si="2">C104+C105</f>
        <v>292.7</v>
      </c>
      <c r="D103" s="189">
        <f t="shared" si="2"/>
        <v>0</v>
      </c>
      <c r="E103" s="189">
        <f t="shared" si="2"/>
        <v>0</v>
      </c>
      <c r="F103" s="189">
        <f t="shared" si="2"/>
        <v>265.89999999999998</v>
      </c>
      <c r="G103" s="189">
        <f t="shared" si="2"/>
        <v>26.8</v>
      </c>
      <c r="H103" s="41"/>
      <c r="I103" s="38"/>
    </row>
    <row r="104" spans="1:10" s="45" customFormat="1" ht="32.25" customHeight="1" x14ac:dyDescent="0.25">
      <c r="A104" s="178" t="s">
        <v>223</v>
      </c>
      <c r="B104" s="42" t="s">
        <v>224</v>
      </c>
      <c r="C104" s="47">
        <f>SUM(D104:G104)</f>
        <v>26.8</v>
      </c>
      <c r="D104" s="48">
        <v>0</v>
      </c>
      <c r="E104" s="48">
        <v>0</v>
      </c>
      <c r="F104" s="48">
        <v>0</v>
      </c>
      <c r="G104" s="48">
        <v>26.8</v>
      </c>
      <c r="H104" s="43" t="s">
        <v>536</v>
      </c>
      <c r="I104" s="38"/>
    </row>
    <row r="105" spans="1:10" s="45" customFormat="1" ht="30" x14ac:dyDescent="0.25">
      <c r="A105" s="178" t="s">
        <v>225</v>
      </c>
      <c r="B105" s="42" t="s">
        <v>226</v>
      </c>
      <c r="C105" s="47">
        <f>SUM(D105:G105)</f>
        <v>265.89999999999998</v>
      </c>
      <c r="D105" s="48">
        <v>0</v>
      </c>
      <c r="E105" s="48">
        <v>0</v>
      </c>
      <c r="F105" s="48">
        <v>265.89999999999998</v>
      </c>
      <c r="G105" s="48">
        <v>0</v>
      </c>
      <c r="H105" s="43" t="s">
        <v>537</v>
      </c>
      <c r="I105" s="51"/>
    </row>
    <row r="106" spans="1:10" s="45" customFormat="1" ht="31.5" customHeight="1" x14ac:dyDescent="0.25">
      <c r="A106" s="190" t="s">
        <v>227</v>
      </c>
      <c r="B106" s="42" t="s">
        <v>228</v>
      </c>
      <c r="C106" s="47">
        <f>SUM(D106:G106)</f>
        <v>0</v>
      </c>
      <c r="D106" s="48">
        <v>0</v>
      </c>
      <c r="E106" s="48">
        <v>0</v>
      </c>
      <c r="F106" s="48">
        <v>0</v>
      </c>
      <c r="G106" s="48">
        <v>0</v>
      </c>
      <c r="H106" s="43" t="s">
        <v>118</v>
      </c>
      <c r="I106" s="38"/>
    </row>
    <row r="107" spans="1:10" s="45" customFormat="1" x14ac:dyDescent="0.25">
      <c r="A107" s="218" t="s">
        <v>441</v>
      </c>
      <c r="B107" s="219"/>
      <c r="C107" s="219"/>
      <c r="D107" s="219"/>
      <c r="E107" s="219"/>
      <c r="F107" s="219"/>
      <c r="G107" s="219"/>
      <c r="H107" s="220"/>
      <c r="I107" s="38"/>
    </row>
    <row r="108" spans="1:10" s="45" customFormat="1" ht="62.25" customHeight="1" x14ac:dyDescent="0.25">
      <c r="A108" s="178" t="s">
        <v>229</v>
      </c>
      <c r="B108" s="42" t="s">
        <v>230</v>
      </c>
      <c r="C108" s="47">
        <f>SUM(D108:G108)</f>
        <v>11122.088000000002</v>
      </c>
      <c r="D108" s="48">
        <v>0</v>
      </c>
      <c r="E108" s="48">
        <f>3337.4+3673.3+1369+1157.6</f>
        <v>9537.3000000000011</v>
      </c>
      <c r="F108" s="185">
        <v>0</v>
      </c>
      <c r="G108" s="48">
        <f>1570.1+14.688</f>
        <v>1584.788</v>
      </c>
      <c r="H108" s="43" t="s">
        <v>575</v>
      </c>
      <c r="I108" s="38"/>
    </row>
    <row r="109" spans="1:10" s="45" customFormat="1" ht="107.25" customHeight="1" x14ac:dyDescent="0.25">
      <c r="A109" s="178" t="s">
        <v>231</v>
      </c>
      <c r="B109" s="42" t="s">
        <v>232</v>
      </c>
      <c r="C109" s="47">
        <f>SUM(D109:G109)</f>
        <v>15735.664019999998</v>
      </c>
      <c r="D109" s="48">
        <v>39.33</v>
      </c>
      <c r="E109" s="48">
        <f>1547.9+2255.3+3994.8+6351.3+86.76602</f>
        <v>14236.066019999998</v>
      </c>
      <c r="F109" s="48">
        <v>1149.2</v>
      </c>
      <c r="G109" s="48">
        <f>905-499.332-94.6</f>
        <v>311.06799999999998</v>
      </c>
      <c r="H109" s="43" t="s">
        <v>584</v>
      </c>
      <c r="I109" s="38"/>
      <c r="J109" s="38"/>
    </row>
    <row r="110" spans="1:10" s="45" customFormat="1" ht="60" customHeight="1" x14ac:dyDescent="0.25">
      <c r="A110" s="178" t="s">
        <v>233</v>
      </c>
      <c r="B110" s="42" t="s">
        <v>234</v>
      </c>
      <c r="C110" s="47">
        <f>SUM(D110:G110)</f>
        <v>3962.8</v>
      </c>
      <c r="D110" s="48">
        <v>0</v>
      </c>
      <c r="E110" s="189">
        <f>1402.8+1860</f>
        <v>3262.8</v>
      </c>
      <c r="F110" s="48">
        <v>0</v>
      </c>
      <c r="G110" s="48">
        <f>350+350</f>
        <v>700</v>
      </c>
      <c r="H110" s="49" t="s">
        <v>552</v>
      </c>
      <c r="I110" s="38"/>
    </row>
    <row r="111" spans="1:10" s="45" customFormat="1" ht="62.25" customHeight="1" x14ac:dyDescent="0.25">
      <c r="A111" s="178" t="s">
        <v>235</v>
      </c>
      <c r="B111" s="42" t="s">
        <v>236</v>
      </c>
      <c r="C111" s="47">
        <f>SUM(D111:G111)</f>
        <v>14368.9</v>
      </c>
      <c r="D111" s="48">
        <v>0</v>
      </c>
      <c r="E111" s="189">
        <f>6219.9+7939</f>
        <v>14158.9</v>
      </c>
      <c r="F111" s="48">
        <v>210</v>
      </c>
      <c r="G111" s="48">
        <v>0</v>
      </c>
      <c r="H111" s="49" t="s">
        <v>538</v>
      </c>
      <c r="I111" s="38"/>
    </row>
    <row r="112" spans="1:10" s="45" customFormat="1" ht="46.5" customHeight="1" x14ac:dyDescent="0.25">
      <c r="A112" s="178" t="s">
        <v>237</v>
      </c>
      <c r="B112" s="42" t="s">
        <v>541</v>
      </c>
      <c r="C112" s="47">
        <f>SUM(D112:G112)</f>
        <v>74.042999999999992</v>
      </c>
      <c r="D112" s="48">
        <v>0</v>
      </c>
      <c r="E112" s="48">
        <v>0</v>
      </c>
      <c r="F112" s="48">
        <v>0</v>
      </c>
      <c r="G112" s="48">
        <f>65.943+8.1</f>
        <v>74.042999999999992</v>
      </c>
      <c r="H112" s="49" t="s">
        <v>585</v>
      </c>
      <c r="I112" s="38"/>
    </row>
    <row r="113" spans="1:11" s="45" customFormat="1" x14ac:dyDescent="0.25">
      <c r="A113" s="218" t="s">
        <v>442</v>
      </c>
      <c r="B113" s="219"/>
      <c r="C113" s="219"/>
      <c r="D113" s="219"/>
      <c r="E113" s="219"/>
      <c r="F113" s="219"/>
      <c r="G113" s="219"/>
      <c r="H113" s="220"/>
      <c r="I113" s="38"/>
    </row>
    <row r="114" spans="1:11" s="45" customFormat="1" ht="90" customHeight="1" x14ac:dyDescent="0.25">
      <c r="A114" s="178" t="s">
        <v>238</v>
      </c>
      <c r="B114" s="42" t="s">
        <v>239</v>
      </c>
      <c r="C114" s="47">
        <f>SUM(D114:G114)</f>
        <v>3537.26</v>
      </c>
      <c r="D114" s="48">
        <v>0</v>
      </c>
      <c r="E114" s="48">
        <v>0</v>
      </c>
      <c r="F114" s="48">
        <f>3210.9+92.4</f>
        <v>3303.3</v>
      </c>
      <c r="G114" s="48">
        <f>80+153.96</f>
        <v>233.96</v>
      </c>
      <c r="H114" s="49" t="s">
        <v>586</v>
      </c>
      <c r="I114" s="38"/>
    </row>
    <row r="115" spans="1:11" s="45" customFormat="1" ht="60" x14ac:dyDescent="0.25">
      <c r="A115" s="178" t="s">
        <v>240</v>
      </c>
      <c r="B115" s="42" t="s">
        <v>443</v>
      </c>
      <c r="C115" s="47">
        <f>SUM(D115:G115)</f>
        <v>52.7</v>
      </c>
      <c r="D115" s="48">
        <v>0</v>
      </c>
      <c r="E115" s="48">
        <v>0</v>
      </c>
      <c r="F115" s="48">
        <v>52.7</v>
      </c>
      <c r="G115" s="48">
        <v>0</v>
      </c>
      <c r="H115" s="43" t="s">
        <v>537</v>
      </c>
      <c r="I115" s="38"/>
    </row>
    <row r="116" spans="1:11" s="45" customFormat="1" x14ac:dyDescent="0.25">
      <c r="A116" s="218" t="s">
        <v>444</v>
      </c>
      <c r="B116" s="219"/>
      <c r="C116" s="219"/>
      <c r="D116" s="219"/>
      <c r="E116" s="219"/>
      <c r="F116" s="219"/>
      <c r="G116" s="219"/>
      <c r="H116" s="220"/>
      <c r="I116" s="38"/>
    </row>
    <row r="117" spans="1:11" s="45" customFormat="1" ht="165" customHeight="1" x14ac:dyDescent="0.25">
      <c r="A117" s="178" t="s">
        <v>241</v>
      </c>
      <c r="B117" s="42" t="s">
        <v>242</v>
      </c>
      <c r="C117" s="47">
        <f>SUM(D117:G117)</f>
        <v>11996.67</v>
      </c>
      <c r="D117" s="48">
        <v>0</v>
      </c>
      <c r="E117" s="48">
        <f>105</f>
        <v>105</v>
      </c>
      <c r="F117" s="48">
        <f>283.6+28.8+200.3+161.2+219.8+71.4+42.1</f>
        <v>1007.2</v>
      </c>
      <c r="G117" s="48">
        <f>9886.1+357.1+2.5+118.8+519.97</f>
        <v>10884.47</v>
      </c>
      <c r="H117" s="43" t="s">
        <v>600</v>
      </c>
      <c r="I117" s="38"/>
    </row>
    <row r="118" spans="1:11" s="45" customFormat="1" ht="121.5" customHeight="1" x14ac:dyDescent="0.25">
      <c r="A118" s="178" t="s">
        <v>243</v>
      </c>
      <c r="B118" s="42" t="s">
        <v>244</v>
      </c>
      <c r="C118" s="47">
        <f>SUM(D118:G118)</f>
        <v>7884.5555999999997</v>
      </c>
      <c r="D118" s="48">
        <v>0</v>
      </c>
      <c r="E118" s="48">
        <v>144.72559999999999</v>
      </c>
      <c r="F118" s="48">
        <f>24.45+78.4+62.37+45.09+41.7+32.73+234.16</f>
        <v>518.9</v>
      </c>
      <c r="G118" s="48">
        <f>128.33+849.37+190.24+4850.46+665.012+106.358+415.46+15.7</f>
        <v>7220.9299999999994</v>
      </c>
      <c r="H118" s="43" t="s">
        <v>587</v>
      </c>
      <c r="I118" s="38"/>
    </row>
    <row r="119" spans="1:11" s="45" customFormat="1" x14ac:dyDescent="0.25">
      <c r="A119" s="252" t="s">
        <v>245</v>
      </c>
      <c r="B119" s="253"/>
      <c r="C119" s="253"/>
      <c r="D119" s="253"/>
      <c r="E119" s="253"/>
      <c r="F119" s="253"/>
      <c r="G119" s="253"/>
      <c r="H119" s="254"/>
      <c r="I119" s="38"/>
    </row>
    <row r="120" spans="1:11" s="45" customFormat="1" x14ac:dyDescent="0.25">
      <c r="A120" s="218" t="s">
        <v>445</v>
      </c>
      <c r="B120" s="219"/>
      <c r="C120" s="219"/>
      <c r="D120" s="219"/>
      <c r="E120" s="219"/>
      <c r="F120" s="219"/>
      <c r="G120" s="219"/>
      <c r="H120" s="220"/>
      <c r="I120" s="38"/>
    </row>
    <row r="121" spans="1:11" s="45" customFormat="1" ht="150" customHeight="1" x14ac:dyDescent="0.25">
      <c r="A121" s="178" t="s">
        <v>246</v>
      </c>
      <c r="B121" s="42" t="s">
        <v>542</v>
      </c>
      <c r="C121" s="47">
        <f>SUM(D121:G121)</f>
        <v>25043.680819999994</v>
      </c>
      <c r="D121" s="48">
        <v>0</v>
      </c>
      <c r="E121" s="48">
        <f>100+45.959+80+91.854+46.07842+366.095+47.6</f>
        <v>777.58641999999998</v>
      </c>
      <c r="F121" s="48">
        <f>49.05759+44.48632+33.9392+129+27.7594+136.0014+100+125+40+150</f>
        <v>835.24391000000003</v>
      </c>
      <c r="G121" s="48">
        <f>499.7505+1705.55+988.78671+694.78+1486.9126+979.28+214.992+49.25454+548.244+346.692+153.9+178.2+56.92+100+236.17262+49.991+90+20+203.4+32.3087+375.302+84.937+90+363.98+246.5+64.114+281.74+254.64+962.42+997.49915+933.813+775.54+995.33014+994.82753+999.744+891.551+999.023+488.35+1000+2996.405</f>
        <v>23430.850489999993</v>
      </c>
      <c r="H121" s="43" t="s">
        <v>602</v>
      </c>
      <c r="I121" s="38"/>
      <c r="K121" s="38"/>
    </row>
    <row r="122" spans="1:11" s="45" customFormat="1" ht="30" x14ac:dyDescent="0.25">
      <c r="A122" s="178" t="s">
        <v>247</v>
      </c>
      <c r="B122" s="42" t="s">
        <v>248</v>
      </c>
      <c r="C122" s="47">
        <f>SUM(D122:G122)</f>
        <v>0</v>
      </c>
      <c r="D122" s="48">
        <v>0</v>
      </c>
      <c r="E122" s="48">
        <v>0</v>
      </c>
      <c r="F122" s="48">
        <v>0</v>
      </c>
      <c r="G122" s="48">
        <v>0</v>
      </c>
      <c r="H122" s="43" t="s">
        <v>118</v>
      </c>
      <c r="I122" s="38"/>
    </row>
    <row r="123" spans="1:11" s="45" customFormat="1" x14ac:dyDescent="0.25">
      <c r="A123" s="218" t="s">
        <v>446</v>
      </c>
      <c r="B123" s="219"/>
      <c r="C123" s="219"/>
      <c r="D123" s="219"/>
      <c r="E123" s="219"/>
      <c r="F123" s="219"/>
      <c r="G123" s="219"/>
      <c r="H123" s="220"/>
      <c r="I123" s="38"/>
    </row>
    <row r="124" spans="1:11" s="45" customFormat="1" ht="32.25" customHeight="1" x14ac:dyDescent="0.25">
      <c r="A124" s="178" t="s">
        <v>249</v>
      </c>
      <c r="B124" s="42" t="s">
        <v>250</v>
      </c>
      <c r="C124" s="47">
        <f>SUM(D124:G124)</f>
        <v>3307.75</v>
      </c>
      <c r="D124" s="48">
        <f>D125+D126+D127</f>
        <v>0</v>
      </c>
      <c r="E124" s="48">
        <f>E125+E126+E127</f>
        <v>3307.75</v>
      </c>
      <c r="F124" s="48">
        <f>F125+F126+F127</f>
        <v>0</v>
      </c>
      <c r="G124" s="48">
        <f>G125+G126+G127</f>
        <v>0</v>
      </c>
      <c r="H124" s="43"/>
      <c r="I124" s="38"/>
    </row>
    <row r="125" spans="1:11" s="45" customFormat="1" x14ac:dyDescent="0.25">
      <c r="A125" s="178" t="s">
        <v>251</v>
      </c>
      <c r="B125" s="50" t="s">
        <v>154</v>
      </c>
      <c r="C125" s="47">
        <f>SUM(D125:G125)</f>
        <v>0</v>
      </c>
      <c r="D125" s="48">
        <v>0</v>
      </c>
      <c r="E125" s="48">
        <v>0</v>
      </c>
      <c r="F125" s="48">
        <v>0</v>
      </c>
      <c r="G125" s="48">
        <v>0</v>
      </c>
      <c r="H125" s="41"/>
      <c r="I125" s="38"/>
    </row>
    <row r="126" spans="1:11" s="45" customFormat="1" x14ac:dyDescent="0.25">
      <c r="A126" s="178" t="s">
        <v>252</v>
      </c>
      <c r="B126" s="42" t="s">
        <v>156</v>
      </c>
      <c r="C126" s="47">
        <f>SUM(D126:G126)</f>
        <v>0</v>
      </c>
      <c r="D126" s="48">
        <v>0</v>
      </c>
      <c r="E126" s="48">
        <v>0</v>
      </c>
      <c r="F126" s="48">
        <v>0</v>
      </c>
      <c r="G126" s="48">
        <v>0</v>
      </c>
      <c r="H126" s="41"/>
      <c r="I126" s="38"/>
    </row>
    <row r="127" spans="1:11" s="45" customFormat="1" ht="35.25" customHeight="1" x14ac:dyDescent="0.25">
      <c r="A127" s="178" t="s">
        <v>253</v>
      </c>
      <c r="B127" s="42" t="s">
        <v>424</v>
      </c>
      <c r="C127" s="47">
        <f>SUM(D127:G127)</f>
        <v>3307.75</v>
      </c>
      <c r="D127" s="48">
        <v>0</v>
      </c>
      <c r="E127" s="48">
        <v>3307.75</v>
      </c>
      <c r="F127" s="48">
        <v>0</v>
      </c>
      <c r="G127" s="48">
        <v>0</v>
      </c>
      <c r="H127" s="49" t="s">
        <v>561</v>
      </c>
      <c r="I127" s="38"/>
    </row>
    <row r="128" spans="1:11" s="45" customFormat="1" x14ac:dyDescent="0.25">
      <c r="A128" s="218" t="s">
        <v>447</v>
      </c>
      <c r="B128" s="219"/>
      <c r="C128" s="219"/>
      <c r="D128" s="219"/>
      <c r="E128" s="219"/>
      <c r="F128" s="219"/>
      <c r="G128" s="219"/>
      <c r="H128" s="220"/>
      <c r="I128" s="38"/>
    </row>
    <row r="129" spans="1:9" s="45" customFormat="1" ht="30" customHeight="1" x14ac:dyDescent="0.25">
      <c r="A129" s="178" t="s">
        <v>254</v>
      </c>
      <c r="B129" s="42" t="s">
        <v>255</v>
      </c>
      <c r="C129" s="47">
        <f>SUM(D129:G129)</f>
        <v>0</v>
      </c>
      <c r="D129" s="48">
        <v>0</v>
      </c>
      <c r="E129" s="48">
        <v>0</v>
      </c>
      <c r="F129" s="48">
        <v>0</v>
      </c>
      <c r="G129" s="48">
        <v>0</v>
      </c>
      <c r="H129" s="43" t="s">
        <v>118</v>
      </c>
      <c r="I129" s="38"/>
    </row>
    <row r="130" spans="1:9" s="45" customFormat="1" ht="29.25" customHeight="1" x14ac:dyDescent="0.25">
      <c r="A130" s="178" t="s">
        <v>256</v>
      </c>
      <c r="B130" s="42" t="s">
        <v>257</v>
      </c>
      <c r="C130" s="47">
        <f>SUM(D130:G130)</f>
        <v>2115.84</v>
      </c>
      <c r="D130" s="48">
        <v>0</v>
      </c>
      <c r="E130" s="48">
        <v>0</v>
      </c>
      <c r="F130" s="48">
        <v>0</v>
      </c>
      <c r="G130" s="48">
        <v>2115.84</v>
      </c>
      <c r="H130" s="42" t="s">
        <v>543</v>
      </c>
      <c r="I130" s="38"/>
    </row>
    <row r="131" spans="1:9" s="45" customFormat="1" ht="78.75" customHeight="1" x14ac:dyDescent="0.25">
      <c r="A131" s="178" t="s">
        <v>258</v>
      </c>
      <c r="B131" s="42" t="s">
        <v>259</v>
      </c>
      <c r="C131" s="47">
        <f>SUM(D131:G131)</f>
        <v>0</v>
      </c>
      <c r="D131" s="48">
        <v>0</v>
      </c>
      <c r="E131" s="48">
        <v>0</v>
      </c>
      <c r="F131" s="48">
        <v>0</v>
      </c>
      <c r="G131" s="48">
        <v>0</v>
      </c>
      <c r="H131" s="43" t="s">
        <v>118</v>
      </c>
      <c r="I131" s="38"/>
    </row>
    <row r="132" spans="1:9" s="45" customFormat="1" ht="61.5" customHeight="1" x14ac:dyDescent="0.25">
      <c r="A132" s="178" t="s">
        <v>260</v>
      </c>
      <c r="B132" s="42" t="s">
        <v>261</v>
      </c>
      <c r="C132" s="47">
        <f>SUM(D132:G132)</f>
        <v>0</v>
      </c>
      <c r="D132" s="48">
        <v>0</v>
      </c>
      <c r="E132" s="48">
        <v>0</v>
      </c>
      <c r="F132" s="48">
        <v>0</v>
      </c>
      <c r="G132" s="48">
        <v>0</v>
      </c>
      <c r="H132" s="43" t="s">
        <v>118</v>
      </c>
      <c r="I132" s="38"/>
    </row>
    <row r="133" spans="1:9" s="45" customFormat="1" x14ac:dyDescent="0.25">
      <c r="A133" s="246" t="s">
        <v>448</v>
      </c>
      <c r="B133" s="247"/>
      <c r="C133" s="247"/>
      <c r="D133" s="247"/>
      <c r="E133" s="247"/>
      <c r="F133" s="247"/>
      <c r="G133" s="247"/>
      <c r="H133" s="248"/>
      <c r="I133" s="38"/>
    </row>
    <row r="134" spans="1:9" s="45" customFormat="1" ht="31.5" customHeight="1" x14ac:dyDescent="0.25">
      <c r="A134" s="178" t="s">
        <v>262</v>
      </c>
      <c r="B134" s="42" t="s">
        <v>449</v>
      </c>
      <c r="C134" s="47">
        <f t="shared" ref="C134:C140" si="3">SUM(D134:G134)</f>
        <v>20</v>
      </c>
      <c r="D134" s="48">
        <v>0</v>
      </c>
      <c r="E134" s="48">
        <v>20</v>
      </c>
      <c r="F134" s="48">
        <v>0</v>
      </c>
      <c r="G134" s="48">
        <v>0</v>
      </c>
      <c r="H134" s="43" t="s">
        <v>544</v>
      </c>
      <c r="I134" s="38"/>
    </row>
    <row r="135" spans="1:9" s="45" customFormat="1" ht="60" x14ac:dyDescent="0.25">
      <c r="A135" s="178" t="s">
        <v>263</v>
      </c>
      <c r="B135" s="42" t="s">
        <v>545</v>
      </c>
      <c r="C135" s="47">
        <f t="shared" si="3"/>
        <v>8535.5334999999995</v>
      </c>
      <c r="D135" s="48">
        <v>0</v>
      </c>
      <c r="E135" s="48">
        <v>1120.77037</v>
      </c>
      <c r="F135" s="48">
        <v>7414.7631300000003</v>
      </c>
      <c r="G135" s="48">
        <v>0</v>
      </c>
      <c r="H135" s="49" t="s">
        <v>562</v>
      </c>
      <c r="I135" s="38"/>
    </row>
    <row r="136" spans="1:9" s="45" customFormat="1" ht="30.75" customHeight="1" x14ac:dyDescent="0.25">
      <c r="A136" s="178" t="s">
        <v>264</v>
      </c>
      <c r="B136" s="42" t="s">
        <v>547</v>
      </c>
      <c r="C136" s="47">
        <f t="shared" si="3"/>
        <v>263.14999999999998</v>
      </c>
      <c r="D136" s="48">
        <v>0</v>
      </c>
      <c r="E136" s="48">
        <v>263.14999999999998</v>
      </c>
      <c r="F136" s="48">
        <v>0</v>
      </c>
      <c r="G136" s="48">
        <v>0</v>
      </c>
      <c r="H136" s="49" t="s">
        <v>548</v>
      </c>
      <c r="I136" s="38"/>
    </row>
    <row r="137" spans="1:9" s="45" customFormat="1" ht="62.25" customHeight="1" x14ac:dyDescent="0.25">
      <c r="A137" s="178" t="s">
        <v>265</v>
      </c>
      <c r="B137" s="42" t="s">
        <v>549</v>
      </c>
      <c r="C137" s="47">
        <f t="shared" si="3"/>
        <v>238.7</v>
      </c>
      <c r="D137" s="48">
        <v>0</v>
      </c>
      <c r="E137" s="48">
        <f>135+44.5+15</f>
        <v>194.5</v>
      </c>
      <c r="F137" s="48">
        <v>44.2</v>
      </c>
      <c r="G137" s="48">
        <v>0</v>
      </c>
      <c r="H137" s="49" t="s">
        <v>564</v>
      </c>
      <c r="I137" s="38"/>
    </row>
    <row r="138" spans="1:9" s="45" customFormat="1" ht="91.5" customHeight="1" x14ac:dyDescent="0.25">
      <c r="A138" s="178" t="s">
        <v>266</v>
      </c>
      <c r="B138" s="42" t="s">
        <v>563</v>
      </c>
      <c r="C138" s="47">
        <f t="shared" si="3"/>
        <v>1863.0590000000002</v>
      </c>
      <c r="D138" s="48">
        <v>0</v>
      </c>
      <c r="E138" s="48">
        <f>395.9+30+41</f>
        <v>466.9</v>
      </c>
      <c r="F138" s="48">
        <v>100</v>
      </c>
      <c r="G138" s="48">
        <f>28.173+193+73+1001.986</f>
        <v>1296.1590000000001</v>
      </c>
      <c r="H138" s="43" t="s">
        <v>588</v>
      </c>
      <c r="I138" s="38"/>
    </row>
    <row r="139" spans="1:9" s="45" customFormat="1" ht="60" x14ac:dyDescent="0.25">
      <c r="A139" s="178" t="s">
        <v>267</v>
      </c>
      <c r="B139" s="42" t="s">
        <v>550</v>
      </c>
      <c r="C139" s="47">
        <f t="shared" si="3"/>
        <v>69</v>
      </c>
      <c r="D139" s="48">
        <v>0</v>
      </c>
      <c r="E139" s="48">
        <v>69</v>
      </c>
      <c r="F139" s="48">
        <v>0</v>
      </c>
      <c r="G139" s="48">
        <v>0</v>
      </c>
      <c r="H139" s="191" t="s">
        <v>551</v>
      </c>
      <c r="I139" s="38"/>
    </row>
    <row r="140" spans="1:9" s="45" customFormat="1" ht="64.5" customHeight="1" x14ac:dyDescent="0.25">
      <c r="A140" s="178" t="s">
        <v>268</v>
      </c>
      <c r="B140" s="42" t="s">
        <v>269</v>
      </c>
      <c r="C140" s="47">
        <f t="shared" si="3"/>
        <v>52.61</v>
      </c>
      <c r="D140" s="48">
        <v>0</v>
      </c>
      <c r="E140" s="48">
        <v>52.61</v>
      </c>
      <c r="F140" s="48">
        <v>0</v>
      </c>
      <c r="G140" s="48">
        <v>0</v>
      </c>
      <c r="H140" s="43" t="s">
        <v>565</v>
      </c>
      <c r="I140" s="38"/>
    </row>
    <row r="141" spans="1:9" s="45" customFormat="1" x14ac:dyDescent="0.25">
      <c r="A141" s="221" t="s">
        <v>270</v>
      </c>
      <c r="B141" s="221"/>
      <c r="C141" s="221"/>
      <c r="D141" s="221"/>
      <c r="E141" s="221"/>
      <c r="F141" s="221"/>
      <c r="G141" s="221"/>
      <c r="H141" s="221"/>
      <c r="I141" s="38"/>
    </row>
    <row r="142" spans="1:9" s="52" customFormat="1" x14ac:dyDescent="0.25">
      <c r="A142" s="252" t="s">
        <v>271</v>
      </c>
      <c r="B142" s="253"/>
      <c r="C142" s="253"/>
      <c r="D142" s="253"/>
      <c r="E142" s="253"/>
      <c r="F142" s="253"/>
      <c r="G142" s="253"/>
      <c r="H142" s="254"/>
      <c r="I142" s="51"/>
    </row>
    <row r="143" spans="1:9" s="52" customFormat="1" x14ac:dyDescent="0.25">
      <c r="A143" s="222" t="s">
        <v>450</v>
      </c>
      <c r="B143" s="222"/>
      <c r="C143" s="222"/>
      <c r="D143" s="222"/>
      <c r="E143" s="222"/>
      <c r="F143" s="222"/>
      <c r="G143" s="222"/>
      <c r="H143" s="222"/>
      <c r="I143" s="51"/>
    </row>
    <row r="144" spans="1:9" s="45" customFormat="1" ht="31.5" customHeight="1" x14ac:dyDescent="0.25">
      <c r="A144" s="178" t="s">
        <v>272</v>
      </c>
      <c r="B144" s="42" t="s">
        <v>273</v>
      </c>
      <c r="C144" s="47">
        <f t="shared" ref="C144:C150" si="4">SUM(D144:G144)</f>
        <v>0</v>
      </c>
      <c r="D144" s="48">
        <v>0</v>
      </c>
      <c r="E144" s="48">
        <v>0</v>
      </c>
      <c r="F144" s="48">
        <v>0</v>
      </c>
      <c r="G144" s="48">
        <v>0</v>
      </c>
      <c r="H144" s="43"/>
      <c r="I144" s="38"/>
    </row>
    <row r="145" spans="1:9" s="45" customFormat="1" ht="32.25" customHeight="1" x14ac:dyDescent="0.25">
      <c r="A145" s="192" t="s">
        <v>274</v>
      </c>
      <c r="B145" s="193" t="s">
        <v>275</v>
      </c>
      <c r="C145" s="47">
        <f t="shared" si="4"/>
        <v>0</v>
      </c>
      <c r="D145" s="48">
        <v>0</v>
      </c>
      <c r="E145" s="48">
        <v>0</v>
      </c>
      <c r="F145" s="48">
        <v>0</v>
      </c>
      <c r="G145" s="48">
        <v>0</v>
      </c>
      <c r="H145" s="43"/>
      <c r="I145" s="38"/>
    </row>
    <row r="146" spans="1:9" s="45" customFormat="1" ht="32.25" customHeight="1" x14ac:dyDescent="0.25">
      <c r="A146" s="192" t="s">
        <v>573</v>
      </c>
      <c r="B146" s="193" t="s">
        <v>574</v>
      </c>
      <c r="C146" s="47">
        <v>0</v>
      </c>
      <c r="D146" s="48">
        <v>0</v>
      </c>
      <c r="E146" s="48">
        <v>0</v>
      </c>
      <c r="F146" s="48">
        <v>0</v>
      </c>
      <c r="G146" s="48">
        <v>0</v>
      </c>
      <c r="H146" s="43"/>
      <c r="I146" s="38"/>
    </row>
    <row r="147" spans="1:9" s="45" customFormat="1" ht="90.75" customHeight="1" x14ac:dyDescent="0.25">
      <c r="A147" s="178" t="s">
        <v>276</v>
      </c>
      <c r="B147" s="42" t="s">
        <v>277</v>
      </c>
      <c r="C147" s="47">
        <f t="shared" si="4"/>
        <v>73124.349780000004</v>
      </c>
      <c r="D147" s="48">
        <v>0</v>
      </c>
      <c r="E147" s="48">
        <v>22563</v>
      </c>
      <c r="F147" s="48">
        <v>292.64978000000002</v>
      </c>
      <c r="G147" s="48">
        <f>57230.8-512.6-1595-4854.5</f>
        <v>50268.700000000004</v>
      </c>
      <c r="H147" s="50" t="s">
        <v>505</v>
      </c>
      <c r="I147" s="38"/>
    </row>
    <row r="148" spans="1:9" s="45" customFormat="1" ht="31.5" customHeight="1" x14ac:dyDescent="0.25">
      <c r="A148" s="178" t="s">
        <v>278</v>
      </c>
      <c r="B148" s="42" t="s">
        <v>279</v>
      </c>
      <c r="C148" s="47">
        <f t="shared" si="4"/>
        <v>37376.885000000002</v>
      </c>
      <c r="D148" s="48">
        <v>0</v>
      </c>
      <c r="E148" s="48">
        <v>0</v>
      </c>
      <c r="F148" s="48">
        <v>0</v>
      </c>
      <c r="G148" s="48">
        <v>37376.885000000002</v>
      </c>
      <c r="H148" s="43" t="s">
        <v>503</v>
      </c>
      <c r="I148" s="38"/>
    </row>
    <row r="149" spans="1:9" s="45" customFormat="1" ht="32.25" customHeight="1" x14ac:dyDescent="0.25">
      <c r="A149" s="178" t="s">
        <v>280</v>
      </c>
      <c r="B149" s="193" t="s">
        <v>281</v>
      </c>
      <c r="C149" s="47">
        <f t="shared" si="4"/>
        <v>0</v>
      </c>
      <c r="D149" s="48">
        <v>0</v>
      </c>
      <c r="E149" s="48">
        <v>0</v>
      </c>
      <c r="F149" s="48">
        <v>0</v>
      </c>
      <c r="G149" s="48">
        <v>0</v>
      </c>
      <c r="H149" s="43"/>
      <c r="I149" s="38"/>
    </row>
    <row r="150" spans="1:9" s="45" customFormat="1" ht="137.25" customHeight="1" x14ac:dyDescent="0.25">
      <c r="A150" s="178" t="s">
        <v>282</v>
      </c>
      <c r="B150" s="193" t="s">
        <v>283</v>
      </c>
      <c r="C150" s="47">
        <f t="shared" si="4"/>
        <v>9312.5243599999994</v>
      </c>
      <c r="D150" s="48">
        <v>0</v>
      </c>
      <c r="E150" s="48">
        <v>1387.8</v>
      </c>
      <c r="F150" s="48">
        <f>14.09486+2796.79478+2377.6874+2736.14732</f>
        <v>7924.7243600000002</v>
      </c>
      <c r="G150" s="48">
        <v>0</v>
      </c>
      <c r="H150" s="43" t="s">
        <v>506</v>
      </c>
      <c r="I150" s="38"/>
    </row>
    <row r="151" spans="1:9" s="45" customFormat="1" x14ac:dyDescent="0.25">
      <c r="A151" s="218" t="s">
        <v>451</v>
      </c>
      <c r="B151" s="219"/>
      <c r="C151" s="219"/>
      <c r="D151" s="219"/>
      <c r="E151" s="219"/>
      <c r="F151" s="219"/>
      <c r="G151" s="219"/>
      <c r="H151" s="220"/>
      <c r="I151" s="38"/>
    </row>
    <row r="152" spans="1:9" s="45" customFormat="1" ht="123" customHeight="1" x14ac:dyDescent="0.25">
      <c r="A152" s="178" t="s">
        <v>284</v>
      </c>
      <c r="B152" s="42" t="s">
        <v>285</v>
      </c>
      <c r="C152" s="47">
        <f>SUM(D152:G152)</f>
        <v>238085.73634999999</v>
      </c>
      <c r="D152" s="48">
        <v>0</v>
      </c>
      <c r="E152" s="48">
        <v>0</v>
      </c>
      <c r="F152" s="189">
        <v>3179.2071099999998</v>
      </c>
      <c r="G152" s="48">
        <f>232962.4+1561.23324+382.896</f>
        <v>234906.52924</v>
      </c>
      <c r="H152" s="43" t="s">
        <v>507</v>
      </c>
      <c r="I152" s="38"/>
    </row>
    <row r="153" spans="1:9" s="45" customFormat="1" x14ac:dyDescent="0.25">
      <c r="A153" s="249" t="s">
        <v>452</v>
      </c>
      <c r="B153" s="250"/>
      <c r="C153" s="250"/>
      <c r="D153" s="250"/>
      <c r="E153" s="250"/>
      <c r="F153" s="250"/>
      <c r="G153" s="250"/>
      <c r="H153" s="251"/>
      <c r="I153" s="38"/>
    </row>
    <row r="154" spans="1:9" s="45" customFormat="1" ht="61.5" customHeight="1" x14ac:dyDescent="0.25">
      <c r="A154" s="194" t="s">
        <v>286</v>
      </c>
      <c r="B154" s="42" t="s">
        <v>287</v>
      </c>
      <c r="C154" s="47">
        <f>SUM(D154:G154)</f>
        <v>10604.111939999999</v>
      </c>
      <c r="D154" s="189">
        <v>0</v>
      </c>
      <c r="E154" s="189">
        <v>0</v>
      </c>
      <c r="F154" s="195">
        <v>5439.2819399999998</v>
      </c>
      <c r="G154" s="48">
        <v>5164.83</v>
      </c>
      <c r="H154" s="43" t="s">
        <v>508</v>
      </c>
      <c r="I154" s="38"/>
    </row>
    <row r="155" spans="1:9" s="45" customFormat="1" ht="61.5" customHeight="1" x14ac:dyDescent="0.25">
      <c r="A155" s="178" t="s">
        <v>288</v>
      </c>
      <c r="B155" s="42" t="s">
        <v>289</v>
      </c>
      <c r="C155" s="47">
        <f>SUM(D155:G155)</f>
        <v>28351.603520000001</v>
      </c>
      <c r="D155" s="48">
        <v>0</v>
      </c>
      <c r="E155" s="48">
        <v>28276.409889999999</v>
      </c>
      <c r="F155" s="48">
        <f>28.32413+46.8695</f>
        <v>75.193629999999999</v>
      </c>
      <c r="G155" s="48">
        <v>0</v>
      </c>
      <c r="H155" s="50" t="s">
        <v>509</v>
      </c>
      <c r="I155" s="38"/>
    </row>
    <row r="156" spans="1:9" s="45" customFormat="1" x14ac:dyDescent="0.25">
      <c r="A156" s="249" t="s">
        <v>453</v>
      </c>
      <c r="B156" s="250"/>
      <c r="C156" s="250"/>
      <c r="D156" s="250"/>
      <c r="E156" s="250"/>
      <c r="F156" s="250"/>
      <c r="G156" s="250"/>
      <c r="H156" s="251"/>
      <c r="I156" s="38"/>
    </row>
    <row r="157" spans="1:9" s="45" customFormat="1" ht="61.5" customHeight="1" x14ac:dyDescent="0.25">
      <c r="A157" s="178" t="s">
        <v>290</v>
      </c>
      <c r="B157" s="66" t="s">
        <v>291</v>
      </c>
      <c r="C157" s="47">
        <f>SUM(D157:G157)</f>
        <v>289119</v>
      </c>
      <c r="D157" s="48">
        <v>0</v>
      </c>
      <c r="E157" s="48">
        <f>190976+83643</f>
        <v>274619</v>
      </c>
      <c r="F157" s="48">
        <v>0</v>
      </c>
      <c r="G157" s="48">
        <v>14500</v>
      </c>
      <c r="H157" s="43" t="s">
        <v>607</v>
      </c>
      <c r="I157" s="38"/>
    </row>
    <row r="158" spans="1:9" s="45" customFormat="1" x14ac:dyDescent="0.25">
      <c r="A158" s="178" t="s">
        <v>292</v>
      </c>
      <c r="B158" s="42" t="s">
        <v>293</v>
      </c>
      <c r="C158" s="47">
        <f>SUM(D158:G158)</f>
        <v>0</v>
      </c>
      <c r="D158" s="48">
        <v>0</v>
      </c>
      <c r="E158" s="48">
        <v>0</v>
      </c>
      <c r="F158" s="48">
        <v>0</v>
      </c>
      <c r="G158" s="48">
        <v>0</v>
      </c>
      <c r="H158" s="43" t="s">
        <v>118</v>
      </c>
      <c r="I158" s="38"/>
    </row>
    <row r="159" spans="1:9" s="45" customFormat="1" x14ac:dyDescent="0.25">
      <c r="A159" s="249" t="s">
        <v>454</v>
      </c>
      <c r="B159" s="250"/>
      <c r="C159" s="250"/>
      <c r="D159" s="250"/>
      <c r="E159" s="250"/>
      <c r="F159" s="250"/>
      <c r="G159" s="250"/>
      <c r="H159" s="251"/>
      <c r="I159" s="38"/>
    </row>
    <row r="160" spans="1:9" s="45" customFormat="1" x14ac:dyDescent="0.25">
      <c r="A160" s="178" t="s">
        <v>294</v>
      </c>
      <c r="B160" s="42" t="s">
        <v>295</v>
      </c>
      <c r="C160" s="47">
        <f>SUM(D160:G160)</f>
        <v>0</v>
      </c>
      <c r="D160" s="48">
        <v>0</v>
      </c>
      <c r="E160" s="48">
        <v>0</v>
      </c>
      <c r="F160" s="48">
        <v>0</v>
      </c>
      <c r="G160" s="48">
        <v>0</v>
      </c>
      <c r="H160" s="50" t="s">
        <v>118</v>
      </c>
      <c r="I160" s="38"/>
    </row>
    <row r="161" spans="1:9" s="45" customFormat="1" ht="32.25" customHeight="1" x14ac:dyDescent="0.25">
      <c r="A161" s="178" t="s">
        <v>500</v>
      </c>
      <c r="B161" s="42" t="s">
        <v>499</v>
      </c>
      <c r="C161" s="47">
        <f>SUM(D161:G161)</f>
        <v>0</v>
      </c>
      <c r="D161" s="48">
        <v>0</v>
      </c>
      <c r="E161" s="48">
        <v>0</v>
      </c>
      <c r="F161" s="48">
        <v>0</v>
      </c>
      <c r="G161" s="48">
        <v>0</v>
      </c>
      <c r="H161" s="50" t="s">
        <v>118</v>
      </c>
      <c r="I161" s="38"/>
    </row>
    <row r="162" spans="1:9" s="45" customFormat="1" ht="32.25" customHeight="1" x14ac:dyDescent="0.25">
      <c r="A162" s="178" t="s">
        <v>296</v>
      </c>
      <c r="B162" s="42" t="s">
        <v>297</v>
      </c>
      <c r="C162" s="47">
        <f>SUM(D162:G162)</f>
        <v>0</v>
      </c>
      <c r="D162" s="48">
        <v>0</v>
      </c>
      <c r="E162" s="48">
        <v>0</v>
      </c>
      <c r="F162" s="48">
        <v>0</v>
      </c>
      <c r="G162" s="48">
        <v>0</v>
      </c>
      <c r="H162" s="50" t="s">
        <v>118</v>
      </c>
      <c r="I162" s="38"/>
    </row>
    <row r="163" spans="1:9" s="45" customFormat="1" x14ac:dyDescent="0.25">
      <c r="A163" s="249" t="s">
        <v>455</v>
      </c>
      <c r="B163" s="250"/>
      <c r="C163" s="250"/>
      <c r="D163" s="250"/>
      <c r="E163" s="250"/>
      <c r="F163" s="250"/>
      <c r="G163" s="250"/>
      <c r="H163" s="251"/>
      <c r="I163" s="38"/>
    </row>
    <row r="164" spans="1:9" s="45" customFormat="1" x14ac:dyDescent="0.25">
      <c r="A164" s="178" t="s">
        <v>298</v>
      </c>
      <c r="B164" s="42" t="s">
        <v>299</v>
      </c>
      <c r="C164" s="47">
        <f>SUM(D164:G164)</f>
        <v>0</v>
      </c>
      <c r="D164" s="48">
        <v>0</v>
      </c>
      <c r="E164" s="48">
        <v>0</v>
      </c>
      <c r="F164" s="48">
        <v>0</v>
      </c>
      <c r="G164" s="48">
        <v>0</v>
      </c>
      <c r="H164" s="43" t="s">
        <v>118</v>
      </c>
      <c r="I164" s="38"/>
    </row>
    <row r="165" spans="1:9" s="45" customFormat="1" ht="150.75" customHeight="1" x14ac:dyDescent="0.25">
      <c r="A165" s="178" t="s">
        <v>300</v>
      </c>
      <c r="B165" s="42" t="s">
        <v>301</v>
      </c>
      <c r="C165" s="47">
        <f>SUM(D165:G165)</f>
        <v>44408.110479999996</v>
      </c>
      <c r="D165" s="48">
        <v>0</v>
      </c>
      <c r="E165" s="48">
        <v>29987.46905</v>
      </c>
      <c r="F165" s="48">
        <v>302.90442999999999</v>
      </c>
      <c r="G165" s="48">
        <v>14117.736999999999</v>
      </c>
      <c r="H165" s="43" t="s">
        <v>589</v>
      </c>
      <c r="I165" s="38"/>
    </row>
    <row r="166" spans="1:9" s="45" customFormat="1" ht="181.5" customHeight="1" x14ac:dyDescent="0.25">
      <c r="A166" s="178" t="s">
        <v>302</v>
      </c>
      <c r="B166" s="42" t="s">
        <v>303</v>
      </c>
      <c r="C166" s="47">
        <f>SUM(D166:G166)</f>
        <v>119657.00352</v>
      </c>
      <c r="D166" s="48">
        <v>19584.599999999999</v>
      </c>
      <c r="E166" s="48">
        <f>1030.8+1864+2700</f>
        <v>5594.8</v>
      </c>
      <c r="F166" s="48">
        <f>1534.11386+216.93277+265.00623+464.09789+232.39966+452.18354+458.25+449.7</f>
        <v>4072.6839499999996</v>
      </c>
      <c r="G166" s="48">
        <f>16978.03176+67+98+1055.095+1069.25+1049.3+54624.67484+4000+3040.35797+8423.21</f>
        <v>90404.919569999998</v>
      </c>
      <c r="H166" s="50" t="s">
        <v>601</v>
      </c>
      <c r="I166" s="38"/>
    </row>
    <row r="167" spans="1:9" s="45" customFormat="1" ht="105" customHeight="1" x14ac:dyDescent="0.25">
      <c r="A167" s="178" t="s">
        <v>304</v>
      </c>
      <c r="B167" s="42" t="s">
        <v>305</v>
      </c>
      <c r="C167" s="47">
        <f>SUM(D167:G167)</f>
        <v>34908.115270000002</v>
      </c>
      <c r="D167" s="48">
        <v>6772.3433500000001</v>
      </c>
      <c r="E167" s="48">
        <v>356.43912999999998</v>
      </c>
      <c r="F167" s="48">
        <f>404.73374+569.751+111.60401</f>
        <v>1086.0887499999999</v>
      </c>
      <c r="G167" s="48">
        <f>147.54571+260.40935+1329.41898+10244.18+4502.04+4973.04+2216.82+919.79+2100</f>
        <v>26693.244040000001</v>
      </c>
      <c r="H167" s="49" t="s">
        <v>515</v>
      </c>
      <c r="I167" s="55"/>
    </row>
    <row r="168" spans="1:9" s="45" customFormat="1" ht="30.75" customHeight="1" x14ac:dyDescent="0.25">
      <c r="A168" s="178" t="s">
        <v>501</v>
      </c>
      <c r="B168" s="42" t="s">
        <v>502</v>
      </c>
      <c r="C168" s="47">
        <f>SUM(D168:G168)</f>
        <v>0</v>
      </c>
      <c r="D168" s="48">
        <v>0</v>
      </c>
      <c r="E168" s="48">
        <v>0</v>
      </c>
      <c r="F168" s="48">
        <v>0</v>
      </c>
      <c r="G168" s="48">
        <v>0</v>
      </c>
      <c r="H168" s="43" t="s">
        <v>118</v>
      </c>
      <c r="I168" s="38"/>
    </row>
    <row r="169" spans="1:9" s="45" customFormat="1" x14ac:dyDescent="0.25">
      <c r="A169" s="207" t="s">
        <v>456</v>
      </c>
      <c r="B169" s="208"/>
      <c r="C169" s="208"/>
      <c r="D169" s="208"/>
      <c r="E169" s="208"/>
      <c r="F169" s="208"/>
      <c r="G169" s="208"/>
      <c r="H169" s="209"/>
      <c r="I169" s="38"/>
    </row>
    <row r="170" spans="1:9" s="45" customFormat="1" ht="45.75" customHeight="1" x14ac:dyDescent="0.25">
      <c r="A170" s="178" t="s">
        <v>306</v>
      </c>
      <c r="B170" s="193" t="s">
        <v>307</v>
      </c>
      <c r="C170" s="47">
        <f>SUM(D170:G170)</f>
        <v>0</v>
      </c>
      <c r="D170" s="48">
        <v>0</v>
      </c>
      <c r="E170" s="48">
        <v>0</v>
      </c>
      <c r="F170" s="48">
        <v>0</v>
      </c>
      <c r="G170" s="48">
        <v>0</v>
      </c>
      <c r="H170" s="42"/>
      <c r="I170" s="38"/>
    </row>
    <row r="171" spans="1:9" s="45" customFormat="1" ht="108" customHeight="1" x14ac:dyDescent="0.25">
      <c r="A171" s="178" t="s">
        <v>308</v>
      </c>
      <c r="B171" s="42" t="s">
        <v>539</v>
      </c>
      <c r="C171" s="47">
        <f>SUM(D171:G171)</f>
        <v>300</v>
      </c>
      <c r="D171" s="48">
        <v>0</v>
      </c>
      <c r="E171" s="48">
        <v>0</v>
      </c>
      <c r="F171" s="48">
        <v>300</v>
      </c>
      <c r="G171" s="48">
        <v>0</v>
      </c>
      <c r="H171" s="43" t="s">
        <v>510</v>
      </c>
      <c r="I171" s="38"/>
    </row>
    <row r="172" spans="1:9" s="52" customFormat="1" x14ac:dyDescent="0.25">
      <c r="A172" s="223" t="s">
        <v>309</v>
      </c>
      <c r="B172" s="224"/>
      <c r="C172" s="224"/>
      <c r="D172" s="224"/>
      <c r="E172" s="224"/>
      <c r="F172" s="224"/>
      <c r="G172" s="224"/>
      <c r="H172" s="225"/>
      <c r="I172" s="51"/>
    </row>
    <row r="173" spans="1:9" s="52" customFormat="1" x14ac:dyDescent="0.25">
      <c r="A173" s="207" t="s">
        <v>457</v>
      </c>
      <c r="B173" s="208"/>
      <c r="C173" s="208"/>
      <c r="D173" s="208"/>
      <c r="E173" s="208"/>
      <c r="F173" s="208"/>
      <c r="G173" s="208"/>
      <c r="H173" s="209"/>
      <c r="I173" s="51"/>
    </row>
    <row r="174" spans="1:9" s="45" customFormat="1" ht="48" customHeight="1" x14ac:dyDescent="0.25">
      <c r="A174" s="178" t="s">
        <v>310</v>
      </c>
      <c r="B174" s="42" t="s">
        <v>311</v>
      </c>
      <c r="C174" s="47">
        <f>SUM(D174:G174)</f>
        <v>0</v>
      </c>
      <c r="D174" s="48">
        <v>0</v>
      </c>
      <c r="E174" s="48">
        <v>0</v>
      </c>
      <c r="F174" s="48">
        <v>0</v>
      </c>
      <c r="G174" s="48">
        <v>0</v>
      </c>
      <c r="H174" s="43" t="s">
        <v>118</v>
      </c>
      <c r="I174" s="38"/>
    </row>
    <row r="175" spans="1:9" s="45" customFormat="1" ht="45.75" customHeight="1" x14ac:dyDescent="0.25">
      <c r="A175" s="178" t="s">
        <v>312</v>
      </c>
      <c r="B175" s="42" t="s">
        <v>313</v>
      </c>
      <c r="C175" s="47">
        <f>SUM(D175:G175)</f>
        <v>63.714260000000003</v>
      </c>
      <c r="D175" s="48">
        <v>0</v>
      </c>
      <c r="E175" s="48">
        <v>0</v>
      </c>
      <c r="F175" s="48">
        <v>63.714260000000003</v>
      </c>
      <c r="G175" s="48">
        <v>0</v>
      </c>
      <c r="H175" s="43" t="s">
        <v>527</v>
      </c>
      <c r="I175" s="38"/>
    </row>
    <row r="176" spans="1:9" s="45" customFormat="1" ht="60.75" customHeight="1" x14ac:dyDescent="0.25">
      <c r="A176" s="121" t="s">
        <v>314</v>
      </c>
      <c r="B176" s="66" t="s">
        <v>315</v>
      </c>
      <c r="C176" s="47">
        <f>SUM(D176:G176)</f>
        <v>1432.99991</v>
      </c>
      <c r="D176" s="48">
        <v>0</v>
      </c>
      <c r="E176" s="48">
        <v>363.96199999999999</v>
      </c>
      <c r="F176" s="48">
        <v>1069.03791</v>
      </c>
      <c r="G176" s="48">
        <v>0</v>
      </c>
      <c r="H176" s="66" t="s">
        <v>528</v>
      </c>
      <c r="I176" s="38"/>
    </row>
    <row r="177" spans="1:9" s="45" customFormat="1" x14ac:dyDescent="0.25">
      <c r="A177" s="210" t="s">
        <v>458</v>
      </c>
      <c r="B177" s="211"/>
      <c r="C177" s="211"/>
      <c r="D177" s="211"/>
      <c r="E177" s="211"/>
      <c r="F177" s="211"/>
      <c r="G177" s="211"/>
      <c r="H177" s="212"/>
      <c r="I177" s="38"/>
    </row>
    <row r="178" spans="1:9" s="45" customFormat="1" ht="32.25" customHeight="1" x14ac:dyDescent="0.25">
      <c r="A178" s="121" t="s">
        <v>316</v>
      </c>
      <c r="B178" s="66" t="s">
        <v>459</v>
      </c>
      <c r="C178" s="47">
        <f t="shared" ref="C178:C183" si="5">SUM(D178:G178)</f>
        <v>0</v>
      </c>
      <c r="D178" s="48">
        <v>0</v>
      </c>
      <c r="E178" s="48">
        <v>0</v>
      </c>
      <c r="F178" s="48">
        <v>0</v>
      </c>
      <c r="G178" s="48">
        <v>0</v>
      </c>
      <c r="H178" s="49" t="s">
        <v>118</v>
      </c>
      <c r="I178" s="38"/>
    </row>
    <row r="179" spans="1:9" s="45" customFormat="1" x14ac:dyDescent="0.25">
      <c r="A179" s="121" t="s">
        <v>317</v>
      </c>
      <c r="B179" s="66" t="s">
        <v>318</v>
      </c>
      <c r="C179" s="47">
        <f>SUM(D179:G179)</f>
        <v>107.131</v>
      </c>
      <c r="D179" s="48">
        <f>D180+D181+D182</f>
        <v>0</v>
      </c>
      <c r="E179" s="48">
        <f>E180+E181+E182</f>
        <v>0</v>
      </c>
      <c r="F179" s="48">
        <f>F180+F181+F182</f>
        <v>107.131</v>
      </c>
      <c r="G179" s="48">
        <f>G180+G181+G182</f>
        <v>0</v>
      </c>
      <c r="H179" s="66"/>
      <c r="I179" s="38"/>
    </row>
    <row r="180" spans="1:9" s="45" customFormat="1" ht="17.25" customHeight="1" x14ac:dyDescent="0.25">
      <c r="A180" s="121" t="s">
        <v>319</v>
      </c>
      <c r="B180" s="66" t="s">
        <v>424</v>
      </c>
      <c r="C180" s="47">
        <f t="shared" si="5"/>
        <v>0</v>
      </c>
      <c r="D180" s="48">
        <v>0</v>
      </c>
      <c r="E180" s="48">
        <v>0</v>
      </c>
      <c r="F180" s="48">
        <v>0</v>
      </c>
      <c r="G180" s="48">
        <v>0</v>
      </c>
      <c r="H180" s="49" t="s">
        <v>118</v>
      </c>
      <c r="I180" s="38"/>
    </row>
    <row r="181" spans="1:9" s="45" customFormat="1" ht="31.5" customHeight="1" x14ac:dyDescent="0.25">
      <c r="A181" s="121" t="s">
        <v>320</v>
      </c>
      <c r="B181" s="66" t="s">
        <v>154</v>
      </c>
      <c r="C181" s="47">
        <f t="shared" si="5"/>
        <v>38.4</v>
      </c>
      <c r="D181" s="48">
        <v>0</v>
      </c>
      <c r="E181" s="48">
        <v>0</v>
      </c>
      <c r="F181" s="48">
        <v>38.4</v>
      </c>
      <c r="G181" s="48">
        <v>0</v>
      </c>
      <c r="H181" s="49" t="s">
        <v>546</v>
      </c>
      <c r="I181" s="38"/>
    </row>
    <row r="182" spans="1:9" s="45" customFormat="1" ht="30" x14ac:dyDescent="0.25">
      <c r="A182" s="121" t="s">
        <v>321</v>
      </c>
      <c r="B182" s="66" t="s">
        <v>322</v>
      </c>
      <c r="C182" s="47">
        <f>SUM(D182:G182)</f>
        <v>68.730999999999995</v>
      </c>
      <c r="D182" s="48">
        <v>0</v>
      </c>
      <c r="E182" s="48">
        <v>0</v>
      </c>
      <c r="F182" s="48">
        <v>68.730999999999995</v>
      </c>
      <c r="G182" s="48">
        <v>0</v>
      </c>
      <c r="H182" s="49" t="s">
        <v>527</v>
      </c>
      <c r="I182" s="38"/>
    </row>
    <row r="183" spans="1:9" s="45" customFormat="1" ht="60" x14ac:dyDescent="0.25">
      <c r="A183" s="187" t="s">
        <v>323</v>
      </c>
      <c r="B183" s="66" t="s">
        <v>324</v>
      </c>
      <c r="C183" s="47">
        <f t="shared" si="5"/>
        <v>71.2</v>
      </c>
      <c r="D183" s="48">
        <v>0</v>
      </c>
      <c r="E183" s="48">
        <v>70.5</v>
      </c>
      <c r="F183" s="48">
        <v>0.7</v>
      </c>
      <c r="G183" s="48">
        <v>0</v>
      </c>
      <c r="H183" s="49" t="s">
        <v>509</v>
      </c>
      <c r="I183" s="38"/>
    </row>
    <row r="184" spans="1:9" s="45" customFormat="1" x14ac:dyDescent="0.25">
      <c r="A184" s="207" t="s">
        <v>460</v>
      </c>
      <c r="B184" s="208"/>
      <c r="C184" s="208"/>
      <c r="D184" s="208"/>
      <c r="E184" s="208"/>
      <c r="F184" s="208"/>
      <c r="G184" s="208"/>
      <c r="H184" s="209"/>
      <c r="I184" s="38"/>
    </row>
    <row r="185" spans="1:9" s="45" customFormat="1" ht="45.75" customHeight="1" x14ac:dyDescent="0.25">
      <c r="A185" s="178" t="s">
        <v>325</v>
      </c>
      <c r="B185" s="42" t="s">
        <v>326</v>
      </c>
      <c r="C185" s="216" t="s">
        <v>617</v>
      </c>
      <c r="D185" s="216"/>
      <c r="E185" s="216"/>
      <c r="F185" s="216"/>
      <c r="G185" s="216"/>
      <c r="H185" s="217"/>
      <c r="I185" s="38"/>
    </row>
    <row r="186" spans="1:9" s="45" customFormat="1" x14ac:dyDescent="0.25">
      <c r="A186" s="178" t="s">
        <v>327</v>
      </c>
      <c r="B186" s="213" t="s">
        <v>617</v>
      </c>
      <c r="C186" s="214"/>
      <c r="D186" s="214"/>
      <c r="E186" s="214"/>
      <c r="F186" s="214"/>
      <c r="G186" s="214"/>
      <c r="H186" s="215"/>
      <c r="I186" s="38"/>
    </row>
    <row r="187" spans="1:9" s="45" customFormat="1" x14ac:dyDescent="0.25">
      <c r="A187" s="178" t="s">
        <v>328</v>
      </c>
      <c r="B187" s="213" t="s">
        <v>617</v>
      </c>
      <c r="C187" s="214"/>
      <c r="D187" s="214"/>
      <c r="E187" s="214"/>
      <c r="F187" s="214"/>
      <c r="G187" s="214"/>
      <c r="H187" s="215"/>
      <c r="I187" s="38"/>
    </row>
    <row r="188" spans="1:9" s="45" customFormat="1" ht="32.25" customHeight="1" x14ac:dyDescent="0.25">
      <c r="A188" s="178" t="s">
        <v>329</v>
      </c>
      <c r="B188" s="42" t="s">
        <v>330</v>
      </c>
      <c r="C188" s="47">
        <f t="shared" ref="C188:C197" si="6">SUM(D188:G188)</f>
        <v>28768</v>
      </c>
      <c r="D188" s="48">
        <v>0</v>
      </c>
      <c r="E188" s="48">
        <v>0</v>
      </c>
      <c r="F188" s="48">
        <v>0</v>
      </c>
      <c r="G188" s="48">
        <v>28768</v>
      </c>
      <c r="H188" s="43" t="s">
        <v>530</v>
      </c>
      <c r="I188" s="55"/>
    </row>
    <row r="189" spans="1:9" s="45" customFormat="1" x14ac:dyDescent="0.25">
      <c r="A189" s="178" t="s">
        <v>331</v>
      </c>
      <c r="B189" s="42" t="s">
        <v>332</v>
      </c>
      <c r="C189" s="47">
        <f>SUM(D189:G189)</f>
        <v>32227.35</v>
      </c>
      <c r="D189" s="48">
        <f>D190+D191+D192</f>
        <v>0</v>
      </c>
      <c r="E189" s="48">
        <f>E190+E191+E192</f>
        <v>0</v>
      </c>
      <c r="F189" s="48">
        <f>F190+F191+F192</f>
        <v>0</v>
      </c>
      <c r="G189" s="48">
        <f>G190+G191+G192</f>
        <v>32227.35</v>
      </c>
      <c r="H189" s="43"/>
      <c r="I189" s="38"/>
    </row>
    <row r="190" spans="1:9" s="45" customFormat="1" ht="45.75" customHeight="1" x14ac:dyDescent="0.25">
      <c r="A190" s="178" t="s">
        <v>333</v>
      </c>
      <c r="B190" s="42" t="s">
        <v>461</v>
      </c>
      <c r="C190" s="47">
        <f t="shared" si="6"/>
        <v>1972.25</v>
      </c>
      <c r="D190" s="48">
        <v>0</v>
      </c>
      <c r="E190" s="48">
        <v>0</v>
      </c>
      <c r="F190" s="48">
        <v>0</v>
      </c>
      <c r="G190" s="48">
        <v>1972.25</v>
      </c>
      <c r="H190" s="43" t="s">
        <v>511</v>
      </c>
      <c r="I190" s="38"/>
    </row>
    <row r="191" spans="1:9" s="45" customFormat="1" ht="48" customHeight="1" x14ac:dyDescent="0.25">
      <c r="A191" s="178" t="s">
        <v>334</v>
      </c>
      <c r="B191" s="42" t="s">
        <v>462</v>
      </c>
      <c r="C191" s="47">
        <f t="shared" si="6"/>
        <v>23293</v>
      </c>
      <c r="D191" s="48">
        <v>0</v>
      </c>
      <c r="E191" s="48">
        <v>0</v>
      </c>
      <c r="F191" s="48">
        <v>0</v>
      </c>
      <c r="G191" s="48">
        <v>23293</v>
      </c>
      <c r="H191" s="43" t="s">
        <v>512</v>
      </c>
      <c r="I191" s="38"/>
    </row>
    <row r="192" spans="1:9" s="45" customFormat="1" ht="60" x14ac:dyDescent="0.25">
      <c r="A192" s="178" t="s">
        <v>335</v>
      </c>
      <c r="B192" s="42" t="s">
        <v>336</v>
      </c>
      <c r="C192" s="47">
        <f t="shared" si="6"/>
        <v>6962.1</v>
      </c>
      <c r="D192" s="48">
        <v>0</v>
      </c>
      <c r="E192" s="48">
        <v>0</v>
      </c>
      <c r="F192" s="48">
        <v>0</v>
      </c>
      <c r="G192" s="48">
        <f>512.6+1595+4854.5</f>
        <v>6962.1</v>
      </c>
      <c r="H192" s="43" t="s">
        <v>513</v>
      </c>
      <c r="I192" s="38"/>
    </row>
    <row r="193" spans="1:9" s="45" customFormat="1" ht="17.25" customHeight="1" x14ac:dyDescent="0.25">
      <c r="A193" s="178" t="s">
        <v>337</v>
      </c>
      <c r="B193" s="42" t="s">
        <v>338</v>
      </c>
      <c r="C193" s="47">
        <f>SUM(D193:G193)</f>
        <v>0</v>
      </c>
      <c r="D193" s="48">
        <f>D194+D195</f>
        <v>0</v>
      </c>
      <c r="E193" s="48">
        <f>E194+E195</f>
        <v>0</v>
      </c>
      <c r="F193" s="48">
        <f>F194+F195</f>
        <v>0</v>
      </c>
      <c r="G193" s="48">
        <f>G194+G195</f>
        <v>0</v>
      </c>
      <c r="H193" s="53"/>
      <c r="I193" s="38"/>
    </row>
    <row r="194" spans="1:9" s="45" customFormat="1" ht="16.5" customHeight="1" x14ac:dyDescent="0.25">
      <c r="A194" s="178" t="s">
        <v>339</v>
      </c>
      <c r="B194" s="42" t="s">
        <v>340</v>
      </c>
      <c r="C194" s="47">
        <f t="shared" si="6"/>
        <v>0</v>
      </c>
      <c r="D194" s="48">
        <v>0</v>
      </c>
      <c r="E194" s="48">
        <v>0</v>
      </c>
      <c r="F194" s="48">
        <v>0</v>
      </c>
      <c r="G194" s="48">
        <v>0</v>
      </c>
      <c r="H194" s="53"/>
      <c r="I194" s="38"/>
    </row>
    <row r="195" spans="1:9" s="45" customFormat="1" ht="31.5" customHeight="1" x14ac:dyDescent="0.25">
      <c r="A195" s="178" t="s">
        <v>341</v>
      </c>
      <c r="B195" s="42" t="s">
        <v>342</v>
      </c>
      <c r="C195" s="47">
        <f t="shared" si="6"/>
        <v>0</v>
      </c>
      <c r="D195" s="48">
        <v>0</v>
      </c>
      <c r="E195" s="48">
        <v>0</v>
      </c>
      <c r="F195" s="48">
        <v>0</v>
      </c>
      <c r="G195" s="48">
        <v>0</v>
      </c>
      <c r="H195" s="53"/>
      <c r="I195" s="38"/>
    </row>
    <row r="196" spans="1:9" s="45" customFormat="1" ht="63.75" customHeight="1" x14ac:dyDescent="0.25">
      <c r="A196" s="178" t="s">
        <v>343</v>
      </c>
      <c r="B196" s="42" t="s">
        <v>344</v>
      </c>
      <c r="C196" s="47">
        <f t="shared" si="6"/>
        <v>4611.32935</v>
      </c>
      <c r="D196" s="48">
        <v>0</v>
      </c>
      <c r="E196" s="189">
        <v>2881.9274999999998</v>
      </c>
      <c r="F196" s="189">
        <f>1694.39931+35.00254</f>
        <v>1729.40185</v>
      </c>
      <c r="G196" s="48">
        <v>0</v>
      </c>
      <c r="H196" s="42" t="s">
        <v>514</v>
      </c>
      <c r="I196" s="38"/>
    </row>
    <row r="197" spans="1:9" s="45" customFormat="1" ht="33.75" customHeight="1" x14ac:dyDescent="0.25">
      <c r="A197" s="178" t="s">
        <v>345</v>
      </c>
      <c r="B197" s="42" t="s">
        <v>346</v>
      </c>
      <c r="C197" s="47">
        <f t="shared" si="6"/>
        <v>91.748660000000001</v>
      </c>
      <c r="D197" s="48">
        <v>0</v>
      </c>
      <c r="E197" s="48">
        <v>0</v>
      </c>
      <c r="F197" s="48">
        <v>91.748660000000001</v>
      </c>
      <c r="G197" s="48">
        <v>0</v>
      </c>
      <c r="H197" s="43" t="s">
        <v>516</v>
      </c>
      <c r="I197" s="38"/>
    </row>
    <row r="198" spans="1:9" s="45" customFormat="1" x14ac:dyDescent="0.25">
      <c r="A198" s="201" t="s">
        <v>463</v>
      </c>
      <c r="B198" s="202"/>
      <c r="C198" s="202"/>
      <c r="D198" s="202"/>
      <c r="E198" s="202"/>
      <c r="F198" s="202"/>
      <c r="G198" s="202"/>
      <c r="H198" s="203"/>
      <c r="I198" s="38"/>
    </row>
    <row r="199" spans="1:9" s="45" customFormat="1" ht="16.5" customHeight="1" x14ac:dyDescent="0.25">
      <c r="A199" s="178" t="s">
        <v>347</v>
      </c>
      <c r="B199" s="42" t="s">
        <v>348</v>
      </c>
      <c r="C199" s="216" t="s">
        <v>617</v>
      </c>
      <c r="D199" s="216"/>
      <c r="E199" s="216"/>
      <c r="F199" s="216"/>
      <c r="G199" s="216"/>
      <c r="H199" s="217"/>
      <c r="I199" s="38"/>
    </row>
    <row r="200" spans="1:9" s="45" customFormat="1" ht="33" customHeight="1" x14ac:dyDescent="0.25">
      <c r="A200" s="178" t="s">
        <v>349</v>
      </c>
      <c r="B200" s="42" t="s">
        <v>350</v>
      </c>
      <c r="C200" s="47">
        <f>SUM(D200:G200)</f>
        <v>0</v>
      </c>
      <c r="D200" s="48">
        <v>0</v>
      </c>
      <c r="E200" s="48">
        <v>0</v>
      </c>
      <c r="F200" s="48">
        <v>0</v>
      </c>
      <c r="G200" s="48">
        <v>0</v>
      </c>
      <c r="H200" s="42"/>
      <c r="I200" s="38"/>
    </row>
    <row r="201" spans="1:9" s="45" customFormat="1" x14ac:dyDescent="0.25">
      <c r="A201" s="178" t="s">
        <v>351</v>
      </c>
      <c r="B201" s="213" t="s">
        <v>617</v>
      </c>
      <c r="C201" s="214"/>
      <c r="D201" s="214"/>
      <c r="E201" s="214"/>
      <c r="F201" s="214"/>
      <c r="G201" s="214"/>
      <c r="H201" s="215"/>
      <c r="I201" s="38"/>
    </row>
    <row r="202" spans="1:9" s="45" customFormat="1" x14ac:dyDescent="0.25">
      <c r="A202" s="201" t="s">
        <v>464</v>
      </c>
      <c r="B202" s="202"/>
      <c r="C202" s="202"/>
      <c r="D202" s="202"/>
      <c r="E202" s="202"/>
      <c r="F202" s="202"/>
      <c r="G202" s="202"/>
      <c r="H202" s="203"/>
      <c r="I202" s="38"/>
    </row>
    <row r="203" spans="1:9" s="45" customFormat="1" ht="30" x14ac:dyDescent="0.25">
      <c r="A203" s="178" t="s">
        <v>352</v>
      </c>
      <c r="B203" s="42" t="s">
        <v>353</v>
      </c>
      <c r="C203" s="47">
        <f>SUM(D203:G203)</f>
        <v>9.9699299999999997</v>
      </c>
      <c r="D203" s="48">
        <f>D204+D205+D206</f>
        <v>0</v>
      </c>
      <c r="E203" s="48">
        <f>E204+E205+E206</f>
        <v>0</v>
      </c>
      <c r="F203" s="48">
        <f>F204+F205+F206</f>
        <v>9.9699299999999997</v>
      </c>
      <c r="G203" s="48">
        <f>G204+G205+G206</f>
        <v>0</v>
      </c>
      <c r="H203" s="42"/>
      <c r="I203" s="38"/>
    </row>
    <row r="204" spans="1:9" s="45" customFormat="1" ht="63" customHeight="1" x14ac:dyDescent="0.25">
      <c r="A204" s="178" t="s">
        <v>354</v>
      </c>
      <c r="B204" s="42" t="s">
        <v>465</v>
      </c>
      <c r="C204" s="47">
        <f>SUM(D204:G204)</f>
        <v>0</v>
      </c>
      <c r="D204" s="48">
        <v>0</v>
      </c>
      <c r="E204" s="48">
        <v>0</v>
      </c>
      <c r="F204" s="48">
        <v>0</v>
      </c>
      <c r="G204" s="48">
        <v>0</v>
      </c>
      <c r="H204" s="43" t="s">
        <v>118</v>
      </c>
      <c r="I204" s="38"/>
    </row>
    <row r="205" spans="1:9" s="45" customFormat="1" ht="32.25" customHeight="1" x14ac:dyDescent="0.25">
      <c r="A205" s="178" t="s">
        <v>355</v>
      </c>
      <c r="B205" s="42" t="s">
        <v>356</v>
      </c>
      <c r="C205" s="47">
        <f>SUM(D205:G205)</f>
        <v>9.9699299999999997</v>
      </c>
      <c r="D205" s="48">
        <v>0</v>
      </c>
      <c r="E205" s="48">
        <v>0</v>
      </c>
      <c r="F205" s="48">
        <v>9.9699299999999997</v>
      </c>
      <c r="G205" s="48">
        <v>0</v>
      </c>
      <c r="H205" s="43" t="s">
        <v>612</v>
      </c>
      <c r="I205" s="38"/>
    </row>
    <row r="206" spans="1:9" s="45" customFormat="1" ht="60.75" customHeight="1" x14ac:dyDescent="0.25">
      <c r="A206" s="178" t="s">
        <v>357</v>
      </c>
      <c r="B206" s="42" t="s">
        <v>358</v>
      </c>
      <c r="C206" s="47">
        <f>SUM(D206:G206)</f>
        <v>0</v>
      </c>
      <c r="D206" s="48">
        <v>0</v>
      </c>
      <c r="E206" s="48">
        <v>0</v>
      </c>
      <c r="F206" s="48">
        <v>0</v>
      </c>
      <c r="G206" s="48">
        <v>0</v>
      </c>
      <c r="H206" s="43" t="s">
        <v>118</v>
      </c>
      <c r="I206" s="38"/>
    </row>
    <row r="207" spans="1:9" s="45" customFormat="1" x14ac:dyDescent="0.25">
      <c r="A207" s="201" t="s">
        <v>466</v>
      </c>
      <c r="B207" s="202"/>
      <c r="C207" s="202"/>
      <c r="D207" s="202"/>
      <c r="E207" s="202"/>
      <c r="F207" s="202"/>
      <c r="G207" s="202"/>
      <c r="H207" s="203"/>
      <c r="I207" s="38"/>
    </row>
    <row r="208" spans="1:9" s="45" customFormat="1" ht="106.5" customHeight="1" x14ac:dyDescent="0.25">
      <c r="A208" s="178" t="s">
        <v>359</v>
      </c>
      <c r="B208" s="42" t="s">
        <v>360</v>
      </c>
      <c r="C208" s="47">
        <f>SUM(D208:G208)</f>
        <v>3015.5906999999997</v>
      </c>
      <c r="D208" s="48">
        <v>0</v>
      </c>
      <c r="E208" s="48">
        <v>0</v>
      </c>
      <c r="F208" s="48">
        <f>2875.5917+139.999</f>
        <v>3015.5906999999997</v>
      </c>
      <c r="G208" s="48">
        <v>0</v>
      </c>
      <c r="H208" s="43" t="s">
        <v>517</v>
      </c>
      <c r="I208" s="38"/>
    </row>
    <row r="209" spans="1:9" s="45" customFormat="1" ht="45.75" customHeight="1" x14ac:dyDescent="0.25">
      <c r="A209" s="178" t="s">
        <v>361</v>
      </c>
      <c r="B209" s="42" t="s">
        <v>362</v>
      </c>
      <c r="C209" s="47">
        <f>SUM(D209:G209)</f>
        <v>597.79999999999995</v>
      </c>
      <c r="D209" s="48">
        <v>0</v>
      </c>
      <c r="E209" s="48">
        <v>0</v>
      </c>
      <c r="F209" s="48">
        <f>518.8+79</f>
        <v>597.79999999999995</v>
      </c>
      <c r="G209" s="48">
        <v>0</v>
      </c>
      <c r="H209" s="43" t="s">
        <v>518</v>
      </c>
      <c r="I209" s="38"/>
    </row>
    <row r="210" spans="1:9" s="45" customFormat="1" ht="59.25" customHeight="1" x14ac:dyDescent="0.25">
      <c r="A210" s="178" t="s">
        <v>363</v>
      </c>
      <c r="B210" s="42" t="s">
        <v>529</v>
      </c>
      <c r="C210" s="47">
        <f>SUM(D210:G210)</f>
        <v>326</v>
      </c>
      <c r="D210" s="48">
        <v>0</v>
      </c>
      <c r="E210" s="48">
        <v>228.2</v>
      </c>
      <c r="F210" s="48">
        <v>97.8</v>
      </c>
      <c r="G210" s="48">
        <v>0</v>
      </c>
      <c r="H210" s="43" t="s">
        <v>518</v>
      </c>
      <c r="I210" s="38"/>
    </row>
    <row r="211" spans="1:9" s="45" customFormat="1" x14ac:dyDescent="0.25">
      <c r="A211" s="201" t="s">
        <v>467</v>
      </c>
      <c r="B211" s="202"/>
      <c r="C211" s="202"/>
      <c r="D211" s="202"/>
      <c r="E211" s="202"/>
      <c r="F211" s="202"/>
      <c r="G211" s="202"/>
      <c r="H211" s="203"/>
      <c r="I211" s="38"/>
    </row>
    <row r="212" spans="1:9" s="45" customFormat="1" ht="61.5" customHeight="1" x14ac:dyDescent="0.25">
      <c r="A212" s="178" t="s">
        <v>364</v>
      </c>
      <c r="B212" s="42" t="s">
        <v>365</v>
      </c>
      <c r="C212" s="47">
        <f>SUM(D212:G212)</f>
        <v>0</v>
      </c>
      <c r="D212" s="48">
        <v>0</v>
      </c>
      <c r="E212" s="48">
        <v>0</v>
      </c>
      <c r="F212" s="48">
        <v>0</v>
      </c>
      <c r="G212" s="48">
        <v>0</v>
      </c>
      <c r="H212" s="43" t="s">
        <v>118</v>
      </c>
      <c r="I212" s="38"/>
    </row>
    <row r="213" spans="1:9" s="45" customFormat="1" x14ac:dyDescent="0.25">
      <c r="A213" s="204" t="s">
        <v>408</v>
      </c>
      <c r="B213" s="205"/>
      <c r="C213" s="205"/>
      <c r="D213" s="205"/>
      <c r="E213" s="205"/>
      <c r="F213" s="205"/>
      <c r="G213" s="205"/>
      <c r="H213" s="206"/>
      <c r="I213" s="38"/>
    </row>
    <row r="214" spans="1:9" s="45" customFormat="1" x14ac:dyDescent="0.25">
      <c r="A214" s="222" t="s">
        <v>519</v>
      </c>
      <c r="B214" s="222"/>
      <c r="C214" s="222"/>
      <c r="D214" s="222"/>
      <c r="E214" s="222"/>
      <c r="F214" s="222"/>
      <c r="G214" s="222"/>
      <c r="H214" s="222"/>
      <c r="I214" s="38"/>
    </row>
    <row r="215" spans="1:9" s="45" customFormat="1" ht="75.75" customHeight="1" x14ac:dyDescent="0.25">
      <c r="A215" s="178" t="s">
        <v>366</v>
      </c>
      <c r="B215" s="42" t="s">
        <v>367</v>
      </c>
      <c r="C215" s="47">
        <f>SUM(D215:G215)</f>
        <v>12650.676730000001</v>
      </c>
      <c r="D215" s="48">
        <v>0</v>
      </c>
      <c r="E215" s="48">
        <v>0</v>
      </c>
      <c r="F215" s="48">
        <f>12009.2+641.47673</f>
        <v>12650.676730000001</v>
      </c>
      <c r="G215" s="48">
        <v>0</v>
      </c>
      <c r="H215" s="43" t="s">
        <v>521</v>
      </c>
      <c r="I215" s="38"/>
    </row>
    <row r="216" spans="1:9" s="45" customFormat="1" ht="33.75" customHeight="1" x14ac:dyDescent="0.25">
      <c r="A216" s="178" t="s">
        <v>368</v>
      </c>
      <c r="B216" s="42" t="s">
        <v>369</v>
      </c>
      <c r="C216" s="47">
        <f>SUM(D216:G216)</f>
        <v>43985.5</v>
      </c>
      <c r="D216" s="48">
        <v>0</v>
      </c>
      <c r="E216" s="48">
        <v>43985.5</v>
      </c>
      <c r="F216" s="48">
        <v>0</v>
      </c>
      <c r="G216" s="48">
        <v>0</v>
      </c>
      <c r="H216" s="43" t="s">
        <v>497</v>
      </c>
      <c r="I216" s="38"/>
    </row>
    <row r="217" spans="1:9" s="45" customFormat="1" ht="17.25" customHeight="1" x14ac:dyDescent="0.25">
      <c r="A217" s="264" t="s">
        <v>520</v>
      </c>
      <c r="B217" s="264"/>
      <c r="C217" s="264"/>
      <c r="D217" s="264"/>
      <c r="E217" s="264"/>
      <c r="F217" s="264"/>
      <c r="G217" s="264"/>
      <c r="H217" s="264"/>
      <c r="I217" s="38"/>
    </row>
    <row r="218" spans="1:9" s="45" customFormat="1" ht="49.5" customHeight="1" x14ac:dyDescent="0.25">
      <c r="A218" s="178" t="s">
        <v>370</v>
      </c>
      <c r="B218" s="42" t="s">
        <v>371</v>
      </c>
      <c r="C218" s="47">
        <f t="shared" ref="C218:C223" si="7">SUM(D218:G218)</f>
        <v>333</v>
      </c>
      <c r="D218" s="48">
        <f>D219+D220+D221+D222+D223</f>
        <v>0</v>
      </c>
      <c r="E218" s="48">
        <f>E219+E220+E221+E222+E223</f>
        <v>0</v>
      </c>
      <c r="F218" s="48">
        <f>F219+F220+F221+F222+F223</f>
        <v>0</v>
      </c>
      <c r="G218" s="48">
        <f>G219+G220+G221+G222+G223</f>
        <v>333</v>
      </c>
      <c r="H218" s="43"/>
      <c r="I218" s="38"/>
    </row>
    <row r="219" spans="1:9" s="45" customFormat="1" ht="15.75" customHeight="1" x14ac:dyDescent="0.25">
      <c r="A219" s="178" t="s">
        <v>372</v>
      </c>
      <c r="B219" s="42" t="s">
        <v>491</v>
      </c>
      <c r="C219" s="47">
        <f t="shared" si="7"/>
        <v>0</v>
      </c>
      <c r="D219" s="48">
        <v>0</v>
      </c>
      <c r="E219" s="48">
        <v>0</v>
      </c>
      <c r="F219" s="48">
        <v>0</v>
      </c>
      <c r="G219" s="48">
        <v>0</v>
      </c>
      <c r="H219" s="43"/>
      <c r="I219" s="38"/>
    </row>
    <row r="220" spans="1:9" s="45" customFormat="1" ht="16.5" customHeight="1" x14ac:dyDescent="0.25">
      <c r="A220" s="178" t="s">
        <v>373</v>
      </c>
      <c r="B220" s="42" t="s">
        <v>424</v>
      </c>
      <c r="C220" s="47">
        <f t="shared" si="7"/>
        <v>333</v>
      </c>
      <c r="D220" s="48">
        <v>0</v>
      </c>
      <c r="E220" s="48">
        <v>0</v>
      </c>
      <c r="F220" s="48">
        <v>0</v>
      </c>
      <c r="G220" s="48">
        <v>333</v>
      </c>
      <c r="H220" s="43" t="s">
        <v>535</v>
      </c>
      <c r="I220" s="54"/>
    </row>
    <row r="221" spans="1:9" s="45" customFormat="1" x14ac:dyDescent="0.25">
      <c r="A221" s="178" t="s">
        <v>374</v>
      </c>
      <c r="B221" s="42" t="s">
        <v>156</v>
      </c>
      <c r="C221" s="47">
        <f t="shared" si="7"/>
        <v>0</v>
      </c>
      <c r="D221" s="48">
        <v>0</v>
      </c>
      <c r="E221" s="48">
        <v>0</v>
      </c>
      <c r="F221" s="48">
        <v>0</v>
      </c>
      <c r="G221" s="48">
        <v>0</v>
      </c>
      <c r="H221" s="43"/>
      <c r="I221" s="38"/>
    </row>
    <row r="222" spans="1:9" s="45" customFormat="1" ht="17.25" customHeight="1" x14ac:dyDescent="0.25">
      <c r="A222" s="178" t="s">
        <v>375</v>
      </c>
      <c r="B222" s="42" t="s">
        <v>154</v>
      </c>
      <c r="C222" s="47">
        <f t="shared" si="7"/>
        <v>0</v>
      </c>
      <c r="D222" s="48">
        <v>0</v>
      </c>
      <c r="E222" s="48">
        <v>0</v>
      </c>
      <c r="F222" s="48">
        <v>0</v>
      </c>
      <c r="G222" s="48">
        <v>0</v>
      </c>
      <c r="H222" s="43"/>
    </row>
    <row r="223" spans="1:9" s="45" customFormat="1" ht="17.25" customHeight="1" x14ac:dyDescent="0.25">
      <c r="A223" s="178" t="s">
        <v>376</v>
      </c>
      <c r="B223" s="42" t="s">
        <v>377</v>
      </c>
      <c r="C223" s="47">
        <f t="shared" si="7"/>
        <v>0</v>
      </c>
      <c r="D223" s="48">
        <v>0</v>
      </c>
      <c r="E223" s="48">
        <v>0</v>
      </c>
      <c r="F223" s="48">
        <v>0</v>
      </c>
      <c r="G223" s="48">
        <v>0</v>
      </c>
      <c r="H223" s="42"/>
      <c r="I223" s="38"/>
    </row>
    <row r="224" spans="1:9" s="45" customFormat="1" x14ac:dyDescent="0.25">
      <c r="A224" s="222" t="s">
        <v>409</v>
      </c>
      <c r="B224" s="222"/>
      <c r="C224" s="222"/>
      <c r="D224" s="222"/>
      <c r="E224" s="222"/>
      <c r="F224" s="222"/>
      <c r="G224" s="222"/>
      <c r="H224" s="222"/>
    </row>
    <row r="225" spans="1:14" s="45" customFormat="1" ht="32.25" customHeight="1" x14ac:dyDescent="0.25">
      <c r="A225" s="178" t="s">
        <v>378</v>
      </c>
      <c r="B225" s="42" t="s">
        <v>379</v>
      </c>
      <c r="C225" s="47">
        <f>SUM(D225:G225)</f>
        <v>1041.54</v>
      </c>
      <c r="D225" s="48">
        <v>0</v>
      </c>
      <c r="E225" s="48">
        <v>76.569999999999993</v>
      </c>
      <c r="F225" s="48">
        <v>0</v>
      </c>
      <c r="G225" s="48">
        <v>964.97</v>
      </c>
      <c r="H225" s="43" t="s">
        <v>498</v>
      </c>
      <c r="I225" s="38"/>
    </row>
    <row r="226" spans="1:14" s="45" customFormat="1" ht="32.25" customHeight="1" x14ac:dyDescent="0.25">
      <c r="A226" s="178" t="s">
        <v>380</v>
      </c>
      <c r="B226" s="42" t="s">
        <v>381</v>
      </c>
      <c r="C226" s="47">
        <f>SUM(D226:G226)</f>
        <v>0</v>
      </c>
      <c r="D226" s="48">
        <v>0</v>
      </c>
      <c r="E226" s="48">
        <v>0</v>
      </c>
      <c r="F226" s="48">
        <v>0</v>
      </c>
      <c r="G226" s="48">
        <v>0</v>
      </c>
      <c r="H226" s="43" t="s">
        <v>118</v>
      </c>
      <c r="I226" s="38"/>
    </row>
    <row r="227" spans="1:14" s="45" customFormat="1" x14ac:dyDescent="0.25">
      <c r="A227" s="223" t="s">
        <v>468</v>
      </c>
      <c r="B227" s="224"/>
      <c r="C227" s="224"/>
      <c r="D227" s="224"/>
      <c r="E227" s="224"/>
      <c r="F227" s="224"/>
      <c r="G227" s="224"/>
      <c r="H227" s="225"/>
      <c r="I227" s="38"/>
    </row>
    <row r="228" spans="1:14" x14ac:dyDescent="0.25">
      <c r="A228" s="207" t="s">
        <v>469</v>
      </c>
      <c r="B228" s="208"/>
      <c r="C228" s="208"/>
      <c r="D228" s="208"/>
      <c r="E228" s="208"/>
      <c r="F228" s="208"/>
      <c r="G228" s="208"/>
      <c r="H228" s="209"/>
    </row>
    <row r="229" spans="1:14" s="57" customFormat="1" ht="31.5" customHeight="1" x14ac:dyDescent="0.25">
      <c r="A229" s="178" t="s">
        <v>382</v>
      </c>
      <c r="B229" s="42" t="s">
        <v>383</v>
      </c>
      <c r="C229" s="47">
        <f>SUM(D229:G229)</f>
        <v>0</v>
      </c>
      <c r="D229" s="48">
        <v>0</v>
      </c>
      <c r="E229" s="48">
        <v>0</v>
      </c>
      <c r="F229" s="48">
        <v>0</v>
      </c>
      <c r="G229" s="48">
        <v>0</v>
      </c>
      <c r="H229" s="42"/>
      <c r="I229" s="55"/>
      <c r="J229" s="56"/>
      <c r="K229" s="56"/>
      <c r="L229" s="56"/>
      <c r="M229" s="56"/>
      <c r="N229" s="56"/>
    </row>
    <row r="230" spans="1:14" s="57" customFormat="1" ht="48.75" customHeight="1" x14ac:dyDescent="0.25">
      <c r="A230" s="178" t="s">
        <v>384</v>
      </c>
      <c r="B230" s="42" t="s">
        <v>385</v>
      </c>
      <c r="C230" s="47">
        <f>SUM(D230:G230)</f>
        <v>5295.2290000000003</v>
      </c>
      <c r="D230" s="48">
        <v>0</v>
      </c>
      <c r="E230" s="48">
        <v>0</v>
      </c>
      <c r="F230" s="48">
        <v>0</v>
      </c>
      <c r="G230" s="48">
        <v>5295.2290000000003</v>
      </c>
      <c r="H230" s="43" t="s">
        <v>503</v>
      </c>
      <c r="I230" s="55"/>
      <c r="J230" s="56"/>
      <c r="K230" s="56"/>
      <c r="L230" s="56"/>
      <c r="M230" s="56"/>
      <c r="N230" s="56"/>
    </row>
    <row r="231" spans="1:14" x14ac:dyDescent="0.25">
      <c r="A231" s="207" t="s">
        <v>470</v>
      </c>
      <c r="B231" s="208"/>
      <c r="C231" s="208"/>
      <c r="D231" s="208"/>
      <c r="E231" s="208"/>
      <c r="F231" s="208"/>
      <c r="G231" s="208"/>
      <c r="H231" s="209"/>
    </row>
    <row r="232" spans="1:14" ht="32.25" customHeight="1" x14ac:dyDescent="0.25">
      <c r="A232" s="121" t="s">
        <v>386</v>
      </c>
      <c r="B232" s="66" t="s">
        <v>471</v>
      </c>
      <c r="C232" s="47">
        <f>SUM(D232:G232)</f>
        <v>664.5</v>
      </c>
      <c r="D232" s="48">
        <v>0</v>
      </c>
      <c r="E232" s="48">
        <v>0</v>
      </c>
      <c r="F232" s="48">
        <v>0</v>
      </c>
      <c r="G232" s="48">
        <v>664.5</v>
      </c>
      <c r="H232" s="49" t="s">
        <v>522</v>
      </c>
    </row>
    <row r="233" spans="1:14" ht="33" customHeight="1" x14ac:dyDescent="0.25">
      <c r="A233" s="121" t="s">
        <v>387</v>
      </c>
      <c r="B233" s="66" t="s">
        <v>388</v>
      </c>
      <c r="C233" s="47">
        <f>SUM(D233:G233)</f>
        <v>0</v>
      </c>
      <c r="D233" s="48">
        <v>0</v>
      </c>
      <c r="E233" s="48">
        <v>0</v>
      </c>
      <c r="F233" s="48">
        <v>0</v>
      </c>
      <c r="G233" s="48">
        <v>0</v>
      </c>
      <c r="H233" s="49" t="s">
        <v>118</v>
      </c>
    </row>
    <row r="234" spans="1:14" ht="18" customHeight="1" x14ac:dyDescent="0.25">
      <c r="A234" s="121" t="s">
        <v>389</v>
      </c>
      <c r="B234" s="66" t="s">
        <v>472</v>
      </c>
      <c r="C234" s="47">
        <f>SUM(D234:G234)</f>
        <v>0</v>
      </c>
      <c r="D234" s="48">
        <v>0</v>
      </c>
      <c r="E234" s="48">
        <v>0</v>
      </c>
      <c r="F234" s="48">
        <v>0</v>
      </c>
      <c r="G234" s="48">
        <v>0</v>
      </c>
      <c r="H234" s="199" t="s">
        <v>118</v>
      </c>
    </row>
    <row r="235" spans="1:14" x14ac:dyDescent="0.25">
      <c r="A235" s="210" t="s">
        <v>473</v>
      </c>
      <c r="B235" s="211"/>
      <c r="C235" s="211"/>
      <c r="D235" s="211"/>
      <c r="E235" s="211"/>
      <c r="F235" s="211"/>
      <c r="G235" s="211"/>
      <c r="H235" s="212"/>
    </row>
    <row r="236" spans="1:14" ht="46.5" customHeight="1" x14ac:dyDescent="0.25">
      <c r="A236" s="121" t="s">
        <v>390</v>
      </c>
      <c r="B236" s="66" t="s">
        <v>474</v>
      </c>
      <c r="C236" s="47">
        <f>SUM(D236:G236)</f>
        <v>0</v>
      </c>
      <c r="D236" s="48">
        <v>0</v>
      </c>
      <c r="E236" s="48">
        <v>0</v>
      </c>
      <c r="F236" s="48">
        <v>0</v>
      </c>
      <c r="G236" s="48">
        <v>0</v>
      </c>
      <c r="H236" s="49" t="s">
        <v>118</v>
      </c>
    </row>
    <row r="237" spans="1:14" x14ac:dyDescent="0.25">
      <c r="A237" s="121"/>
      <c r="B237" s="196" t="s">
        <v>618</v>
      </c>
      <c r="C237" s="122">
        <v>11699484.314720003</v>
      </c>
      <c r="D237" s="122">
        <v>336903.14392999996</v>
      </c>
      <c r="E237" s="122">
        <v>727603.18803000008</v>
      </c>
      <c r="F237" s="122">
        <v>109930.33121</v>
      </c>
      <c r="G237" s="122">
        <v>10525047.651550002</v>
      </c>
      <c r="H237" s="196"/>
    </row>
    <row r="238" spans="1:14" x14ac:dyDescent="0.25">
      <c r="A238" s="73"/>
      <c r="B238" s="58"/>
      <c r="C238" s="77"/>
      <c r="D238" s="77"/>
      <c r="E238" s="77"/>
      <c r="F238" s="77"/>
      <c r="G238" s="77"/>
      <c r="H238" s="59"/>
    </row>
    <row r="239" spans="1:14" x14ac:dyDescent="0.25">
      <c r="A239" s="73"/>
      <c r="B239" s="58"/>
      <c r="C239" s="77"/>
      <c r="D239" s="77"/>
      <c r="E239" s="77"/>
      <c r="F239" s="77"/>
      <c r="G239" s="77"/>
      <c r="H239" s="59"/>
    </row>
    <row r="240" spans="1:14" s="84" customFormat="1" ht="15.75" x14ac:dyDescent="0.25">
      <c r="A240" s="265" t="s">
        <v>391</v>
      </c>
      <c r="B240" s="265"/>
      <c r="C240" s="80"/>
      <c r="D240" s="80"/>
      <c r="E240" s="80"/>
      <c r="F240" s="80"/>
      <c r="G240" s="80"/>
      <c r="H240" s="81"/>
      <c r="I240" s="82"/>
      <c r="J240" s="83"/>
      <c r="K240" s="83"/>
      <c r="L240" s="83"/>
      <c r="M240" s="83"/>
      <c r="N240" s="83"/>
    </row>
    <row r="241" spans="1:14" s="82" customFormat="1" ht="15.75" x14ac:dyDescent="0.25">
      <c r="A241" s="265" t="s">
        <v>392</v>
      </c>
      <c r="B241" s="265"/>
      <c r="C241" s="80"/>
      <c r="D241" s="80"/>
      <c r="E241" s="80"/>
      <c r="F241" s="80"/>
      <c r="G241" s="80"/>
      <c r="H241" s="81"/>
      <c r="J241" s="83"/>
      <c r="K241" s="83"/>
      <c r="L241" s="83"/>
      <c r="M241" s="83"/>
      <c r="N241" s="83"/>
    </row>
    <row r="242" spans="1:14" s="82" customFormat="1" ht="15.75" x14ac:dyDescent="0.25">
      <c r="A242" s="265" t="s">
        <v>393</v>
      </c>
      <c r="B242" s="265"/>
      <c r="C242" s="80"/>
      <c r="D242" s="80"/>
      <c r="E242" s="80"/>
      <c r="F242" s="80"/>
      <c r="G242" s="80"/>
      <c r="H242" s="81"/>
      <c r="J242" s="83"/>
      <c r="K242" s="83"/>
      <c r="L242" s="83"/>
      <c r="M242" s="83"/>
      <c r="N242" s="83"/>
    </row>
    <row r="243" spans="1:14" s="82" customFormat="1" ht="15.75" x14ac:dyDescent="0.25">
      <c r="A243" s="266" t="s">
        <v>394</v>
      </c>
      <c r="B243" s="266"/>
      <c r="C243" s="80"/>
      <c r="D243" s="80"/>
      <c r="E243" s="80"/>
      <c r="F243" s="80"/>
      <c r="G243" s="80"/>
      <c r="H243" s="85" t="s">
        <v>395</v>
      </c>
      <c r="J243" s="83"/>
      <c r="K243" s="83"/>
      <c r="L243" s="83"/>
      <c r="M243" s="83"/>
      <c r="N243" s="83"/>
    </row>
    <row r="244" spans="1:14" s="38" customFormat="1" x14ac:dyDescent="0.25">
      <c r="A244" s="71"/>
      <c r="B244" s="60"/>
      <c r="C244" s="77"/>
      <c r="D244" s="77"/>
      <c r="E244" s="77"/>
      <c r="F244" s="77"/>
      <c r="G244" s="77"/>
      <c r="H244" s="70"/>
      <c r="J244" s="45"/>
      <c r="K244" s="45"/>
      <c r="L244" s="45"/>
      <c r="M244" s="45"/>
      <c r="N244" s="45"/>
    </row>
    <row r="245" spans="1:14" s="38" customFormat="1" x14ac:dyDescent="0.25">
      <c r="A245" s="71"/>
      <c r="B245" s="60"/>
      <c r="C245" s="77"/>
      <c r="D245" s="77"/>
      <c r="E245" s="77"/>
      <c r="F245" s="77"/>
      <c r="G245" s="77"/>
      <c r="H245" s="70"/>
      <c r="J245" s="45"/>
      <c r="K245" s="45"/>
      <c r="L245" s="45"/>
      <c r="M245" s="45"/>
      <c r="N245" s="45"/>
    </row>
    <row r="246" spans="1:14" s="38" customFormat="1" x14ac:dyDescent="0.25">
      <c r="A246" s="71"/>
      <c r="B246" s="60"/>
      <c r="C246" s="77"/>
      <c r="D246" s="77"/>
      <c r="E246" s="77"/>
      <c r="F246" s="77"/>
      <c r="G246" s="77"/>
      <c r="H246" s="70"/>
      <c r="J246" s="45"/>
      <c r="K246" s="45"/>
      <c r="L246" s="45"/>
      <c r="M246" s="45"/>
      <c r="N246" s="45"/>
    </row>
    <row r="247" spans="1:14" s="38" customFormat="1" x14ac:dyDescent="0.25">
      <c r="A247" s="71"/>
      <c r="B247" s="60"/>
      <c r="C247" s="77"/>
      <c r="D247" s="77"/>
      <c r="E247" s="77"/>
      <c r="F247" s="77"/>
      <c r="G247" s="77"/>
      <c r="H247" s="70"/>
      <c r="J247" s="45"/>
      <c r="K247" s="45"/>
      <c r="L247" s="45"/>
      <c r="M247" s="45"/>
      <c r="N247" s="45"/>
    </row>
    <row r="248" spans="1:14" s="38" customFormat="1" x14ac:dyDescent="0.25">
      <c r="A248" s="71"/>
      <c r="B248" s="60"/>
      <c r="C248" s="77"/>
      <c r="D248" s="77"/>
      <c r="E248" s="77"/>
      <c r="F248" s="77"/>
      <c r="G248" s="77"/>
      <c r="H248" s="70"/>
      <c r="J248" s="45"/>
      <c r="K248" s="45"/>
      <c r="L248" s="45"/>
      <c r="M248" s="45"/>
      <c r="N248" s="45"/>
    </row>
    <row r="249" spans="1:14" s="38" customFormat="1" x14ac:dyDescent="0.25">
      <c r="A249" s="71"/>
      <c r="B249" s="60"/>
      <c r="C249" s="77"/>
      <c r="D249" s="77"/>
      <c r="E249" s="77"/>
      <c r="F249" s="77"/>
      <c r="G249" s="77"/>
      <c r="H249" s="70"/>
      <c r="J249" s="45"/>
      <c r="K249" s="45"/>
      <c r="L249" s="45"/>
      <c r="M249" s="45"/>
      <c r="N249" s="45"/>
    </row>
    <row r="250" spans="1:14" s="55" customFormat="1" x14ac:dyDescent="0.25">
      <c r="C250" s="77"/>
      <c r="D250" s="77"/>
      <c r="E250" s="77"/>
      <c r="F250" s="77"/>
      <c r="G250" s="77"/>
      <c r="H250" s="113"/>
      <c r="J250" s="56"/>
      <c r="K250" s="56"/>
      <c r="L250" s="56"/>
      <c r="M250" s="56"/>
      <c r="N250" s="56"/>
    </row>
    <row r="251" spans="1:14" s="55" customFormat="1" x14ac:dyDescent="0.25">
      <c r="C251" s="77"/>
      <c r="D251" s="77"/>
      <c r="E251" s="77"/>
      <c r="F251" s="77"/>
      <c r="G251" s="77"/>
      <c r="H251" s="113"/>
      <c r="J251" s="56"/>
      <c r="K251" s="56"/>
      <c r="L251" s="56"/>
      <c r="M251" s="56"/>
      <c r="N251" s="56"/>
    </row>
    <row r="252" spans="1:14" s="38" customFormat="1" x14ac:dyDescent="0.25">
      <c r="A252" s="71"/>
      <c r="B252" s="60"/>
      <c r="C252" s="77"/>
      <c r="D252" s="77"/>
      <c r="E252" s="77"/>
      <c r="F252" s="77"/>
      <c r="G252" s="77"/>
      <c r="H252" s="70"/>
      <c r="J252" s="45"/>
      <c r="K252" s="45"/>
      <c r="L252" s="45"/>
      <c r="M252" s="45"/>
      <c r="N252" s="45"/>
    </row>
    <row r="253" spans="1:14" s="38" customFormat="1" x14ac:dyDescent="0.25">
      <c r="A253" s="71"/>
      <c r="B253" s="60"/>
      <c r="C253" s="77"/>
      <c r="D253" s="77"/>
      <c r="E253" s="77"/>
      <c r="F253" s="77"/>
      <c r="G253" s="77"/>
      <c r="H253" s="70"/>
      <c r="J253" s="45"/>
      <c r="K253" s="45"/>
      <c r="L253" s="45"/>
      <c r="M253" s="45"/>
      <c r="N253" s="45"/>
    </row>
    <row r="254" spans="1:14" s="38" customFormat="1" x14ac:dyDescent="0.25">
      <c r="A254" s="71"/>
      <c r="B254" s="60"/>
      <c r="C254" s="77"/>
      <c r="D254" s="77"/>
      <c r="E254" s="77"/>
      <c r="F254" s="77"/>
      <c r="G254" s="77"/>
      <c r="H254" s="70"/>
      <c r="J254" s="45"/>
      <c r="K254" s="45"/>
      <c r="L254" s="45"/>
      <c r="M254" s="45"/>
      <c r="N254" s="45"/>
    </row>
    <row r="255" spans="1:14" s="38" customFormat="1" x14ac:dyDescent="0.25">
      <c r="A255" s="71"/>
      <c r="B255" s="60"/>
      <c r="C255" s="77"/>
      <c r="D255" s="77"/>
      <c r="E255" s="77"/>
      <c r="F255" s="77"/>
      <c r="G255" s="77"/>
      <c r="H255" s="70"/>
      <c r="J255" s="45"/>
      <c r="K255" s="45"/>
      <c r="L255" s="45"/>
      <c r="M255" s="45"/>
      <c r="N255" s="45"/>
    </row>
    <row r="256" spans="1:14" s="38" customFormat="1" x14ac:dyDescent="0.25">
      <c r="A256" s="71"/>
      <c r="B256" s="60"/>
      <c r="C256" s="77"/>
      <c r="D256" s="77"/>
      <c r="E256" s="77"/>
      <c r="F256" s="77"/>
      <c r="G256" s="77"/>
      <c r="H256" s="70"/>
      <c r="J256" s="45"/>
      <c r="K256" s="45"/>
      <c r="L256" s="45"/>
      <c r="M256" s="45"/>
      <c r="N256" s="45"/>
    </row>
    <row r="257" spans="1:14" s="38" customFormat="1" x14ac:dyDescent="0.25">
      <c r="A257" s="71"/>
      <c r="B257" s="60"/>
      <c r="C257" s="77"/>
      <c r="D257" s="77"/>
      <c r="E257" s="77"/>
      <c r="F257" s="77"/>
      <c r="G257" s="77"/>
      <c r="H257" s="70"/>
      <c r="J257" s="45"/>
      <c r="K257" s="45"/>
      <c r="L257" s="45"/>
      <c r="M257" s="45"/>
      <c r="N257" s="45"/>
    </row>
    <row r="258" spans="1:14" s="38" customFormat="1" x14ac:dyDescent="0.25">
      <c r="A258" s="71"/>
      <c r="B258" s="60"/>
      <c r="C258" s="77"/>
      <c r="D258" s="77"/>
      <c r="E258" s="77"/>
      <c r="F258" s="77"/>
      <c r="G258" s="77"/>
      <c r="H258" s="70"/>
      <c r="J258" s="45"/>
      <c r="K258" s="45"/>
      <c r="L258" s="45"/>
      <c r="M258" s="45"/>
      <c r="N258" s="45"/>
    </row>
    <row r="259" spans="1:14" s="38" customFormat="1" x14ac:dyDescent="0.25">
      <c r="A259" s="71"/>
      <c r="B259" s="60"/>
      <c r="C259" s="77"/>
      <c r="D259" s="77"/>
      <c r="E259" s="77"/>
      <c r="F259" s="77"/>
      <c r="G259" s="77"/>
      <c r="H259" s="70"/>
      <c r="J259" s="45"/>
      <c r="K259" s="45"/>
      <c r="L259" s="45"/>
      <c r="M259" s="45"/>
      <c r="N259" s="45"/>
    </row>
    <row r="260" spans="1:14" s="38" customFormat="1" x14ac:dyDescent="0.25">
      <c r="A260" s="71"/>
      <c r="B260" s="60"/>
      <c r="C260" s="77"/>
      <c r="D260" s="77"/>
      <c r="E260" s="77"/>
      <c r="F260" s="77"/>
      <c r="G260" s="77"/>
      <c r="H260" s="70"/>
      <c r="J260" s="45"/>
      <c r="K260" s="45"/>
      <c r="L260" s="45"/>
      <c r="M260" s="45"/>
      <c r="N260" s="45"/>
    </row>
    <row r="261" spans="1:14" s="38" customFormat="1" x14ac:dyDescent="0.25">
      <c r="A261" s="71"/>
      <c r="B261" s="60"/>
      <c r="C261" s="77"/>
      <c r="D261" s="77"/>
      <c r="E261" s="77"/>
      <c r="F261" s="77"/>
      <c r="G261" s="77"/>
      <c r="H261" s="70"/>
      <c r="J261" s="45"/>
      <c r="K261" s="45"/>
      <c r="L261" s="45"/>
      <c r="M261" s="45"/>
      <c r="N261" s="45"/>
    </row>
    <row r="262" spans="1:14" s="38" customFormat="1" x14ac:dyDescent="0.25">
      <c r="A262" s="71"/>
      <c r="B262" s="60"/>
      <c r="C262" s="77"/>
      <c r="D262" s="77"/>
      <c r="E262" s="77"/>
      <c r="F262" s="77"/>
      <c r="G262" s="77"/>
      <c r="H262" s="70"/>
      <c r="J262" s="45"/>
      <c r="K262" s="45"/>
      <c r="L262" s="45"/>
      <c r="M262" s="45"/>
      <c r="N262" s="45"/>
    </row>
    <row r="263" spans="1:14" s="38" customFormat="1" x14ac:dyDescent="0.25">
      <c r="A263" s="71"/>
      <c r="B263" s="60"/>
      <c r="C263" s="77"/>
      <c r="D263" s="77"/>
      <c r="E263" s="77"/>
      <c r="F263" s="77"/>
      <c r="G263" s="77"/>
      <c r="H263" s="70"/>
      <c r="J263" s="45"/>
      <c r="K263" s="45"/>
      <c r="L263" s="45"/>
      <c r="M263" s="45"/>
      <c r="N263" s="45"/>
    </row>
    <row r="264" spans="1:14" s="38" customFormat="1" x14ac:dyDescent="0.25">
      <c r="A264" s="71"/>
      <c r="B264" s="60"/>
      <c r="C264" s="77"/>
      <c r="D264" s="77"/>
      <c r="E264" s="77"/>
      <c r="F264" s="77"/>
      <c r="G264" s="77"/>
      <c r="H264" s="70"/>
      <c r="J264" s="45"/>
      <c r="K264" s="45"/>
      <c r="L264" s="45"/>
      <c r="M264" s="45"/>
      <c r="N264" s="45"/>
    </row>
    <row r="265" spans="1:14" s="38" customFormat="1" x14ac:dyDescent="0.25">
      <c r="A265" s="71"/>
      <c r="B265" s="60"/>
      <c r="C265" s="77"/>
      <c r="D265" s="77"/>
      <c r="E265" s="77"/>
      <c r="F265" s="77"/>
      <c r="G265" s="77"/>
      <c r="H265" s="70"/>
      <c r="J265" s="45"/>
      <c r="K265" s="45"/>
      <c r="L265" s="45"/>
      <c r="M265" s="45"/>
      <c r="N265" s="45"/>
    </row>
    <row r="266" spans="1:14" s="38" customFormat="1" x14ac:dyDescent="0.25">
      <c r="A266" s="71"/>
      <c r="B266" s="60"/>
      <c r="C266" s="77"/>
      <c r="D266" s="77"/>
      <c r="E266" s="77"/>
      <c r="F266" s="77"/>
      <c r="G266" s="77"/>
      <c r="H266" s="70"/>
      <c r="J266" s="45"/>
      <c r="K266" s="45"/>
      <c r="L266" s="45"/>
      <c r="M266" s="45"/>
      <c r="N266" s="45"/>
    </row>
    <row r="267" spans="1:14" s="38" customFormat="1" x14ac:dyDescent="0.25">
      <c r="A267" s="71"/>
      <c r="B267" s="60"/>
      <c r="C267" s="77"/>
      <c r="D267" s="77"/>
      <c r="E267" s="77"/>
      <c r="F267" s="77"/>
      <c r="G267" s="77"/>
      <c r="H267" s="70"/>
      <c r="J267" s="45"/>
      <c r="K267" s="45"/>
      <c r="L267" s="45"/>
      <c r="M267" s="45"/>
      <c r="N267" s="45"/>
    </row>
    <row r="268" spans="1:14" s="38" customFormat="1" x14ac:dyDescent="0.25">
      <c r="A268" s="71"/>
      <c r="B268" s="60"/>
      <c r="C268" s="77"/>
      <c r="D268" s="77"/>
      <c r="E268" s="77"/>
      <c r="F268" s="77"/>
      <c r="G268" s="77"/>
      <c r="H268" s="70"/>
      <c r="J268" s="45"/>
      <c r="K268" s="45"/>
      <c r="L268" s="45"/>
      <c r="M268" s="45"/>
      <c r="N268" s="45"/>
    </row>
    <row r="269" spans="1:14" s="38" customFormat="1" x14ac:dyDescent="0.25">
      <c r="A269" s="71"/>
      <c r="B269" s="60"/>
      <c r="C269" s="77"/>
      <c r="D269" s="77"/>
      <c r="E269" s="77"/>
      <c r="F269" s="77"/>
      <c r="G269" s="77"/>
      <c r="H269" s="70"/>
      <c r="J269" s="45"/>
      <c r="K269" s="45"/>
      <c r="L269" s="45"/>
      <c r="M269" s="45"/>
      <c r="N269" s="45"/>
    </row>
    <row r="270" spans="1:14" s="38" customFormat="1" x14ac:dyDescent="0.25">
      <c r="A270" s="71"/>
      <c r="B270" s="60"/>
      <c r="C270" s="77"/>
      <c r="D270" s="77"/>
      <c r="E270" s="77"/>
      <c r="F270" s="77"/>
      <c r="G270" s="77"/>
      <c r="H270" s="70"/>
      <c r="J270" s="45"/>
      <c r="K270" s="45"/>
      <c r="L270" s="45"/>
      <c r="M270" s="45"/>
      <c r="N270" s="45"/>
    </row>
    <row r="271" spans="1:14" s="38" customFormat="1" x14ac:dyDescent="0.25">
      <c r="A271" s="71"/>
      <c r="B271" s="60"/>
      <c r="C271" s="77"/>
      <c r="D271" s="77"/>
      <c r="E271" s="77"/>
      <c r="F271" s="77"/>
      <c r="G271" s="77"/>
      <c r="H271" s="70"/>
      <c r="J271" s="45"/>
      <c r="K271" s="45"/>
      <c r="L271" s="45"/>
      <c r="M271" s="45"/>
      <c r="N271" s="45"/>
    </row>
    <row r="272" spans="1:14" s="38" customFormat="1" x14ac:dyDescent="0.25">
      <c r="A272" s="71"/>
      <c r="B272" s="60"/>
      <c r="C272" s="77"/>
      <c r="D272" s="77"/>
      <c r="E272" s="77"/>
      <c r="F272" s="77"/>
      <c r="G272" s="77"/>
      <c r="H272" s="70"/>
      <c r="J272" s="45"/>
      <c r="K272" s="45"/>
      <c r="L272" s="45"/>
      <c r="M272" s="45"/>
      <c r="N272" s="45"/>
    </row>
    <row r="273" spans="1:14" s="38" customFormat="1" x14ac:dyDescent="0.25">
      <c r="A273" s="71"/>
      <c r="B273" s="60"/>
      <c r="C273" s="77"/>
      <c r="D273" s="77"/>
      <c r="E273" s="77"/>
      <c r="F273" s="77"/>
      <c r="G273" s="77"/>
      <c r="H273" s="70"/>
      <c r="J273" s="45"/>
      <c r="K273" s="45"/>
      <c r="L273" s="45"/>
      <c r="M273" s="45"/>
      <c r="N273" s="45"/>
    </row>
    <row r="274" spans="1:14" s="38" customFormat="1" x14ac:dyDescent="0.25">
      <c r="A274" s="71"/>
      <c r="B274" s="60"/>
      <c r="C274" s="77"/>
      <c r="D274" s="77"/>
      <c r="E274" s="77"/>
      <c r="F274" s="77"/>
      <c r="G274" s="77"/>
      <c r="H274" s="70"/>
      <c r="J274" s="45"/>
      <c r="K274" s="45"/>
      <c r="L274" s="45"/>
      <c r="M274" s="45"/>
      <c r="N274" s="45"/>
    </row>
    <row r="275" spans="1:14" s="38" customFormat="1" x14ac:dyDescent="0.25">
      <c r="A275" s="71"/>
      <c r="B275" s="60"/>
      <c r="C275" s="77"/>
      <c r="D275" s="77"/>
      <c r="E275" s="77"/>
      <c r="F275" s="77"/>
      <c r="G275" s="77"/>
      <c r="H275" s="70"/>
      <c r="J275" s="45"/>
      <c r="K275" s="45"/>
      <c r="L275" s="45"/>
      <c r="M275" s="45"/>
      <c r="N275" s="45"/>
    </row>
    <row r="276" spans="1:14" s="38" customFormat="1" x14ac:dyDescent="0.25">
      <c r="C276" s="77"/>
      <c r="D276" s="77"/>
      <c r="E276" s="77"/>
      <c r="F276" s="77"/>
      <c r="G276" s="77"/>
      <c r="H276" s="70"/>
      <c r="J276" s="45"/>
      <c r="K276" s="45"/>
      <c r="L276" s="45"/>
      <c r="M276" s="45"/>
      <c r="N276" s="45"/>
    </row>
    <row r="277" spans="1:14" s="38" customFormat="1" x14ac:dyDescent="0.25">
      <c r="C277" s="77"/>
      <c r="D277" s="77"/>
      <c r="E277" s="77"/>
      <c r="F277" s="77"/>
      <c r="G277" s="77"/>
      <c r="H277" s="70"/>
      <c r="J277" s="45"/>
      <c r="K277" s="45"/>
      <c r="L277" s="45"/>
      <c r="M277" s="45"/>
      <c r="N277" s="45"/>
    </row>
    <row r="278" spans="1:14" s="38" customFormat="1" x14ac:dyDescent="0.25">
      <c r="A278" s="197" t="s">
        <v>590</v>
      </c>
      <c r="B278" s="57"/>
      <c r="C278" s="77"/>
      <c r="D278" s="77"/>
      <c r="E278" s="77"/>
      <c r="F278" s="77"/>
      <c r="G278" s="77"/>
      <c r="H278" s="70"/>
      <c r="J278" s="45"/>
      <c r="K278" s="45"/>
      <c r="L278" s="45"/>
      <c r="M278" s="45"/>
      <c r="N278" s="45"/>
    </row>
    <row r="279" spans="1:14" s="38" customFormat="1" x14ac:dyDescent="0.25">
      <c r="A279" s="263">
        <v>45791</v>
      </c>
      <c r="B279" s="263"/>
      <c r="C279" s="77"/>
      <c r="D279" s="77"/>
      <c r="E279" s="77"/>
      <c r="F279" s="77"/>
      <c r="G279" s="77"/>
      <c r="H279" s="70"/>
      <c r="J279" s="45"/>
      <c r="K279" s="45"/>
      <c r="L279" s="45"/>
      <c r="M279" s="45"/>
      <c r="N279" s="45"/>
    </row>
    <row r="280" spans="1:14" s="38" customFormat="1" x14ac:dyDescent="0.25">
      <c r="A280" s="71"/>
      <c r="B280" s="60"/>
      <c r="C280" s="77"/>
      <c r="D280" s="77"/>
      <c r="E280" s="77"/>
      <c r="F280" s="77"/>
      <c r="G280" s="77"/>
      <c r="H280" s="70"/>
      <c r="J280" s="45"/>
      <c r="K280" s="45"/>
      <c r="L280" s="45"/>
      <c r="M280" s="45"/>
      <c r="N280" s="45"/>
    </row>
    <row r="281" spans="1:14" s="38" customFormat="1" x14ac:dyDescent="0.25">
      <c r="A281" s="71"/>
      <c r="B281" s="60"/>
      <c r="C281" s="77"/>
      <c r="D281" s="77"/>
      <c r="E281" s="77"/>
      <c r="F281" s="77"/>
      <c r="G281" s="77"/>
      <c r="H281" s="70"/>
      <c r="J281" s="45"/>
      <c r="K281" s="45"/>
      <c r="L281" s="45"/>
      <c r="M281" s="45"/>
      <c r="N281" s="45"/>
    </row>
    <row r="282" spans="1:14" s="38" customFormat="1" x14ac:dyDescent="0.25">
      <c r="A282" s="71"/>
      <c r="B282" s="60"/>
      <c r="C282" s="77"/>
      <c r="D282" s="77"/>
      <c r="E282" s="77"/>
      <c r="F282" s="77"/>
      <c r="G282" s="77"/>
      <c r="H282" s="70"/>
      <c r="J282" s="45"/>
      <c r="K282" s="45"/>
      <c r="L282" s="45"/>
      <c r="M282" s="45"/>
      <c r="N282" s="45"/>
    </row>
    <row r="283" spans="1:14" s="38" customFormat="1" x14ac:dyDescent="0.25">
      <c r="C283" s="77"/>
      <c r="D283" s="77"/>
      <c r="E283" s="77"/>
      <c r="F283" s="77"/>
      <c r="G283" s="77"/>
      <c r="H283" s="70"/>
      <c r="J283" s="45"/>
      <c r="K283" s="45"/>
      <c r="L283" s="45"/>
      <c r="M283" s="45"/>
      <c r="N283" s="45"/>
    </row>
    <row r="284" spans="1:14" s="38" customFormat="1" x14ac:dyDescent="0.25">
      <c r="C284" s="77"/>
      <c r="D284" s="77"/>
      <c r="E284" s="77"/>
      <c r="F284" s="77"/>
      <c r="G284" s="77"/>
      <c r="H284" s="70"/>
      <c r="J284" s="45"/>
      <c r="K284" s="45"/>
      <c r="L284" s="45"/>
      <c r="M284" s="45"/>
      <c r="N284" s="45"/>
    </row>
    <row r="285" spans="1:14" s="38" customFormat="1" x14ac:dyDescent="0.25">
      <c r="A285" s="71"/>
      <c r="B285" s="60"/>
      <c r="C285" s="77"/>
      <c r="D285" s="77"/>
      <c r="E285" s="77"/>
      <c r="F285" s="77"/>
      <c r="G285" s="77"/>
      <c r="H285" s="70"/>
      <c r="J285" s="45"/>
      <c r="K285" s="45"/>
      <c r="L285" s="45"/>
      <c r="M285" s="45"/>
      <c r="N285" s="45"/>
    </row>
    <row r="286" spans="1:14" s="38" customFormat="1" ht="183.75" customHeight="1" x14ac:dyDescent="0.25">
      <c r="A286" s="71"/>
      <c r="B286" s="60"/>
      <c r="C286" s="77"/>
      <c r="D286" s="77"/>
      <c r="E286" s="77"/>
      <c r="F286" s="77"/>
      <c r="G286" s="77"/>
      <c r="H286" s="70"/>
      <c r="J286" s="45"/>
      <c r="K286" s="45"/>
      <c r="L286" s="45"/>
      <c r="M286" s="45"/>
      <c r="N286" s="45"/>
    </row>
    <row r="287" spans="1:14" s="38" customFormat="1" x14ac:dyDescent="0.25">
      <c r="A287" s="71"/>
      <c r="B287" s="36"/>
      <c r="C287" s="88"/>
      <c r="D287" s="78"/>
      <c r="E287" s="74"/>
      <c r="F287" s="74"/>
      <c r="G287" s="74"/>
      <c r="H287" s="60"/>
      <c r="J287" s="45"/>
      <c r="K287" s="45"/>
      <c r="L287" s="45"/>
      <c r="M287" s="45"/>
      <c r="N287" s="45"/>
    </row>
    <row r="288" spans="1:14" s="38" customFormat="1" x14ac:dyDescent="0.25">
      <c r="A288" s="71"/>
      <c r="B288" s="36"/>
      <c r="C288" s="88"/>
      <c r="D288" s="78"/>
      <c r="E288" s="74"/>
      <c r="F288" s="74"/>
      <c r="G288" s="74"/>
      <c r="H288" s="60"/>
      <c r="J288" s="45"/>
      <c r="K288" s="45"/>
      <c r="L288" s="45"/>
      <c r="M288" s="45"/>
      <c r="N288" s="45"/>
    </row>
    <row r="289" spans="1:14" s="38" customFormat="1" x14ac:dyDescent="0.25">
      <c r="A289" s="71"/>
      <c r="B289" s="36"/>
      <c r="C289" s="89"/>
      <c r="D289" s="79"/>
      <c r="E289" s="79"/>
      <c r="F289" s="79"/>
      <c r="G289" s="79"/>
      <c r="H289" s="60"/>
      <c r="J289" s="45"/>
      <c r="K289" s="45"/>
      <c r="L289" s="45"/>
      <c r="M289" s="45"/>
      <c r="N289" s="45"/>
    </row>
    <row r="290" spans="1:14" s="38" customFormat="1" x14ac:dyDescent="0.25">
      <c r="A290" s="71"/>
      <c r="B290" s="37"/>
      <c r="C290" s="88"/>
      <c r="D290" s="78"/>
      <c r="E290" s="74"/>
      <c r="F290" s="74"/>
      <c r="G290" s="74"/>
      <c r="H290" s="60"/>
      <c r="J290" s="45"/>
      <c r="K290" s="45"/>
      <c r="L290" s="45"/>
      <c r="M290" s="45"/>
      <c r="N290" s="45"/>
    </row>
    <row r="291" spans="1:14" s="38" customFormat="1" x14ac:dyDescent="0.25">
      <c r="A291" s="71"/>
      <c r="B291" s="37"/>
      <c r="C291" s="88"/>
      <c r="D291" s="78"/>
      <c r="E291" s="74"/>
      <c r="F291" s="74"/>
      <c r="G291" s="74"/>
      <c r="H291" s="60"/>
      <c r="J291" s="45"/>
      <c r="K291" s="45"/>
      <c r="L291" s="45"/>
      <c r="M291" s="45"/>
      <c r="N291" s="45"/>
    </row>
    <row r="292" spans="1:14" s="38" customFormat="1" x14ac:dyDescent="0.25">
      <c r="A292" s="71"/>
      <c r="B292" s="61"/>
      <c r="C292" s="86"/>
      <c r="D292" s="78"/>
      <c r="E292" s="74"/>
      <c r="F292" s="74"/>
      <c r="G292" s="74"/>
      <c r="H292" s="60"/>
      <c r="J292" s="45"/>
      <c r="K292" s="45"/>
      <c r="L292" s="45"/>
      <c r="M292" s="45"/>
      <c r="N292" s="45"/>
    </row>
  </sheetData>
  <mergeCells count="84">
    <mergeCell ref="A214:H214"/>
    <mergeCell ref="A279:B279"/>
    <mergeCell ref="A217:H217"/>
    <mergeCell ref="A224:H224"/>
    <mergeCell ref="A240:B240"/>
    <mergeCell ref="A241:B241"/>
    <mergeCell ref="A242:B242"/>
    <mergeCell ref="A243:B243"/>
    <mergeCell ref="A235:H235"/>
    <mergeCell ref="A231:H231"/>
    <mergeCell ref="A228:H228"/>
    <mergeCell ref="A227:H227"/>
    <mergeCell ref="A3:H3"/>
    <mergeCell ref="A5:A6"/>
    <mergeCell ref="B5:B6"/>
    <mergeCell ref="C5:G5"/>
    <mergeCell ref="H5:H6"/>
    <mergeCell ref="A58:H58"/>
    <mergeCell ref="A61:H61"/>
    <mergeCell ref="A67:H67"/>
    <mergeCell ref="A76:H76"/>
    <mergeCell ref="A77:H77"/>
    <mergeCell ref="A79:H79"/>
    <mergeCell ref="A83:H83"/>
    <mergeCell ref="A85:H85"/>
    <mergeCell ref="A87:H87"/>
    <mergeCell ref="A93:H93"/>
    <mergeCell ref="A95:H95"/>
    <mergeCell ref="A153:H153"/>
    <mergeCell ref="A156:H156"/>
    <mergeCell ref="A159:H159"/>
    <mergeCell ref="A163:H163"/>
    <mergeCell ref="A97:H97"/>
    <mergeCell ref="A101:H101"/>
    <mergeCell ref="A102:H102"/>
    <mergeCell ref="A107:H107"/>
    <mergeCell ref="A113:H113"/>
    <mergeCell ref="A133:H133"/>
    <mergeCell ref="A142:H142"/>
    <mergeCell ref="A151:H151"/>
    <mergeCell ref="A116:H116"/>
    <mergeCell ref="A119:H119"/>
    <mergeCell ref="A120:H120"/>
    <mergeCell ref="A7:H7"/>
    <mergeCell ref="A8:H8"/>
    <mergeCell ref="A9:H9"/>
    <mergeCell ref="A12:H12"/>
    <mergeCell ref="A15:H15"/>
    <mergeCell ref="B10:H10"/>
    <mergeCell ref="B11:H11"/>
    <mergeCell ref="B13:H13"/>
    <mergeCell ref="A17:H17"/>
    <mergeCell ref="A18:H18"/>
    <mergeCell ref="A21:H21"/>
    <mergeCell ref="A25:H25"/>
    <mergeCell ref="A28:H28"/>
    <mergeCell ref="A29:H29"/>
    <mergeCell ref="A34:H34"/>
    <mergeCell ref="A38:H38"/>
    <mergeCell ref="A50:H50"/>
    <mergeCell ref="A55:H55"/>
    <mergeCell ref="A49:H49"/>
    <mergeCell ref="A51:H51"/>
    <mergeCell ref="C40:H40"/>
    <mergeCell ref="B43:H43"/>
    <mergeCell ref="A123:H123"/>
    <mergeCell ref="A128:H128"/>
    <mergeCell ref="A141:H141"/>
    <mergeCell ref="A143:H143"/>
    <mergeCell ref="A207:H207"/>
    <mergeCell ref="A198:H198"/>
    <mergeCell ref="A202:H202"/>
    <mergeCell ref="A172:H172"/>
    <mergeCell ref="A169:H169"/>
    <mergeCell ref="A211:H211"/>
    <mergeCell ref="A213:H213"/>
    <mergeCell ref="A184:H184"/>
    <mergeCell ref="A177:H177"/>
    <mergeCell ref="A173:H173"/>
    <mergeCell ref="B186:H186"/>
    <mergeCell ref="B187:H187"/>
    <mergeCell ref="C185:H185"/>
    <mergeCell ref="C199:H199"/>
    <mergeCell ref="B201:H201"/>
  </mergeCells>
  <printOptions horizontalCentered="1"/>
  <pageMargins left="0.39370078740157483" right="0.39370078740157483" top="0.78740157480314965" bottom="0.39370078740157483" header="0" footer="0.23622047244094491"/>
  <pageSetup paperSize="9" scale="69" firstPageNumber="112" fitToHeight="0" orientation="landscape" useFirstPageNumber="1" horizontalDpi="1200" verticalDpi="1200" r:id="rId1"/>
  <headerFooter>
    <oddFooter>&amp;R&amp;"Times New Roman,обычный"&amp;P</oddFooter>
  </headerFooter>
  <colBreaks count="1" manualBreakCount="1">
    <brk id="8" max="2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tabSelected="1" view="pageBreakPreview" zoomScaleNormal="100" zoomScaleSheetLayoutView="100" workbookViewId="0">
      <pane xSplit="3" ySplit="9" topLeftCell="D10" activePane="bottomRight" state="frozen"/>
      <selection activeCell="F204" sqref="F204:M205"/>
      <selection pane="topRight" activeCell="F204" sqref="F204:M205"/>
      <selection pane="bottomLeft" activeCell="F204" sqref="F204:M205"/>
      <selection pane="bottomRight" activeCell="I32" sqref="I32"/>
    </sheetView>
  </sheetViews>
  <sheetFormatPr defaultRowHeight="15" x14ac:dyDescent="0.25"/>
  <cols>
    <col min="1" max="1" width="4.7109375" style="90" customWidth="1"/>
    <col min="2" max="2" width="60.140625" style="90" customWidth="1"/>
    <col min="3" max="3" width="16.140625" style="90" customWidth="1"/>
    <col min="4" max="5" width="13.85546875" style="92" customWidth="1"/>
    <col min="6" max="13" width="14" style="92" customWidth="1"/>
    <col min="14" max="14" width="13.7109375" style="92" customWidth="1"/>
    <col min="15" max="15" width="9.140625" style="90"/>
    <col min="16" max="16" width="15.85546875" style="91" customWidth="1"/>
    <col min="17" max="17" width="12.140625" style="90" customWidth="1"/>
    <col min="18" max="16384" width="9.140625" style="90"/>
  </cols>
  <sheetData>
    <row r="1" spans="1:17" hidden="1" x14ac:dyDescent="0.25">
      <c r="M1" s="274" t="s">
        <v>606</v>
      </c>
      <c r="N1" s="274"/>
    </row>
    <row r="2" spans="1:17" hidden="1" x14ac:dyDescent="0.25">
      <c r="M2" s="198"/>
      <c r="N2" s="198"/>
    </row>
    <row r="3" spans="1:17" hidden="1" x14ac:dyDescent="0.25">
      <c r="M3" s="198"/>
      <c r="N3" s="198"/>
    </row>
    <row r="4" spans="1:17" ht="15.75" customHeight="1" x14ac:dyDescent="0.25">
      <c r="A4" s="275" t="s">
        <v>87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</row>
    <row r="5" spans="1:17" ht="15.75" customHeight="1" x14ac:dyDescent="0.25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7" ht="18.75" x14ac:dyDescent="0.25">
      <c r="A6" s="63"/>
      <c r="N6" s="126" t="s">
        <v>480</v>
      </c>
    </row>
    <row r="7" spans="1:17" ht="6" customHeight="1" x14ac:dyDescent="0.25">
      <c r="A7" s="276" t="s">
        <v>0</v>
      </c>
      <c r="B7" s="276" t="s">
        <v>7</v>
      </c>
      <c r="C7" s="276" t="s">
        <v>1</v>
      </c>
      <c r="D7" s="277" t="s">
        <v>481</v>
      </c>
      <c r="E7" s="277" t="s">
        <v>482</v>
      </c>
      <c r="F7" s="277" t="s">
        <v>483</v>
      </c>
      <c r="G7" s="278" t="s">
        <v>484</v>
      </c>
      <c r="H7" s="281" t="s">
        <v>485</v>
      </c>
      <c r="I7" s="285" t="s">
        <v>486</v>
      </c>
      <c r="J7" s="285" t="s">
        <v>487</v>
      </c>
      <c r="K7" s="277" t="s">
        <v>488</v>
      </c>
      <c r="L7" s="284" t="s">
        <v>489</v>
      </c>
      <c r="M7" s="284"/>
      <c r="N7" s="284"/>
    </row>
    <row r="8" spans="1:17" x14ac:dyDescent="0.25">
      <c r="A8" s="276"/>
      <c r="B8" s="276"/>
      <c r="C8" s="276"/>
      <c r="D8" s="277"/>
      <c r="E8" s="277"/>
      <c r="F8" s="277"/>
      <c r="G8" s="279"/>
      <c r="H8" s="282"/>
      <c r="I8" s="282"/>
      <c r="J8" s="282"/>
      <c r="K8" s="277"/>
      <c r="L8" s="284"/>
      <c r="M8" s="284"/>
      <c r="N8" s="284"/>
    </row>
    <row r="9" spans="1:17" ht="15" customHeight="1" x14ac:dyDescent="0.25">
      <c r="A9" s="276"/>
      <c r="B9" s="276"/>
      <c r="C9" s="276"/>
      <c r="D9" s="277"/>
      <c r="E9" s="277"/>
      <c r="F9" s="277" t="s">
        <v>397</v>
      </c>
      <c r="G9" s="280"/>
      <c r="H9" s="283"/>
      <c r="I9" s="283"/>
      <c r="J9" s="283"/>
      <c r="K9" s="277"/>
      <c r="L9" s="127" t="s">
        <v>396</v>
      </c>
      <c r="M9" s="127" t="s">
        <v>397</v>
      </c>
      <c r="N9" s="28" t="s">
        <v>490</v>
      </c>
    </row>
    <row r="10" spans="1:17" s="18" customFormat="1" x14ac:dyDescent="0.25">
      <c r="A10" s="267" t="s">
        <v>29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9"/>
      <c r="P10" s="93"/>
      <c r="Q10" s="94"/>
    </row>
    <row r="11" spans="1:17" ht="30" x14ac:dyDescent="0.25">
      <c r="A11" s="12">
        <v>1</v>
      </c>
      <c r="B11" s="65" t="s">
        <v>90</v>
      </c>
      <c r="C11" s="124" t="s">
        <v>3</v>
      </c>
      <c r="D11" s="23" t="s">
        <v>96</v>
      </c>
      <c r="E11" s="22">
        <v>103.8</v>
      </c>
      <c r="F11" s="22">
        <v>102.71942015384106</v>
      </c>
      <c r="G11" s="22">
        <v>105.72162686450891</v>
      </c>
      <c r="H11" s="128">
        <v>99.360842771601781</v>
      </c>
      <c r="I11" s="128">
        <v>106.14764373742882</v>
      </c>
      <c r="J11" s="128">
        <v>129.65003038075821</v>
      </c>
      <c r="K11" s="128">
        <v>142.68906891619602</v>
      </c>
      <c r="L11" s="128">
        <v>221.8095443763053</v>
      </c>
      <c r="M11" s="128">
        <v>176.24413540672711</v>
      </c>
      <c r="N11" s="23">
        <f>M11/L11*100</f>
        <v>79.457417354288708</v>
      </c>
      <c r="Q11" s="94"/>
    </row>
    <row r="12" spans="1:17" x14ac:dyDescent="0.25">
      <c r="A12" s="12">
        <f>A11+1</f>
        <v>2</v>
      </c>
      <c r="B12" s="129" t="s">
        <v>32</v>
      </c>
      <c r="C12" s="16" t="s">
        <v>3</v>
      </c>
      <c r="D12" s="23" t="s">
        <v>96</v>
      </c>
      <c r="E12" s="22">
        <v>107</v>
      </c>
      <c r="F12" s="6">
        <v>109.4</v>
      </c>
      <c r="G12" s="6">
        <v>114.2</v>
      </c>
      <c r="H12" s="128">
        <v>110.41317761309631</v>
      </c>
      <c r="I12" s="128">
        <v>116.97436725199152</v>
      </c>
      <c r="J12" s="128">
        <v>140.05613576161301</v>
      </c>
      <c r="K12" s="128">
        <v>159.97388006199881</v>
      </c>
      <c r="L12" s="110">
        <v>198.55793827390508</v>
      </c>
      <c r="M12" s="110">
        <v>191.89104869700796</v>
      </c>
      <c r="N12" s="23">
        <f>M12/L12*100</f>
        <v>96.642345486232671</v>
      </c>
      <c r="Q12" s="94"/>
    </row>
    <row r="13" spans="1:17" ht="30" x14ac:dyDescent="0.25">
      <c r="A13" s="12">
        <f>A12+1</f>
        <v>3</v>
      </c>
      <c r="B13" s="129" t="s">
        <v>33</v>
      </c>
      <c r="C13" s="124" t="s">
        <v>3</v>
      </c>
      <c r="D13" s="22">
        <v>74.900000000000006</v>
      </c>
      <c r="E13" s="22">
        <v>74.099999999999994</v>
      </c>
      <c r="F13" s="6">
        <v>72.400000000000006</v>
      </c>
      <c r="G13" s="6">
        <v>72</v>
      </c>
      <c r="H13" s="128">
        <v>69.928356542505355</v>
      </c>
      <c r="I13" s="128">
        <v>69.671804614960323</v>
      </c>
      <c r="J13" s="128">
        <v>79.405242301959504</v>
      </c>
      <c r="K13" s="128">
        <v>83.593057607090103</v>
      </c>
      <c r="L13" s="110">
        <v>89.27341158458789</v>
      </c>
      <c r="M13" s="110">
        <v>83.979271586015628</v>
      </c>
      <c r="N13" s="23">
        <f>M13/L13*100</f>
        <v>94.069746070412037</v>
      </c>
      <c r="Q13" s="94"/>
    </row>
    <row r="14" spans="1:17" ht="30" x14ac:dyDescent="0.25">
      <c r="A14" s="12">
        <f>A13+1</f>
        <v>4</v>
      </c>
      <c r="B14" s="65" t="s">
        <v>19</v>
      </c>
      <c r="C14" s="125" t="s">
        <v>18</v>
      </c>
      <c r="D14" s="14">
        <v>234</v>
      </c>
      <c r="E14" s="14">
        <v>230</v>
      </c>
      <c r="F14" s="15">
        <v>245</v>
      </c>
      <c r="G14" s="15">
        <v>236</v>
      </c>
      <c r="H14" s="131">
        <v>223</v>
      </c>
      <c r="I14" s="131">
        <v>226.66</v>
      </c>
      <c r="J14" s="131">
        <v>266</v>
      </c>
      <c r="K14" s="131">
        <v>274</v>
      </c>
      <c r="L14" s="115">
        <v>308</v>
      </c>
      <c r="M14" s="115">
        <v>288</v>
      </c>
      <c r="N14" s="23">
        <f>M14/L14*100</f>
        <v>93.506493506493499</v>
      </c>
      <c r="Q14" s="94"/>
    </row>
    <row r="15" spans="1:17" ht="30" x14ac:dyDescent="0.25">
      <c r="A15" s="12">
        <f>A14+1</f>
        <v>5</v>
      </c>
      <c r="B15" s="112" t="s">
        <v>13</v>
      </c>
      <c r="C15" s="16" t="s">
        <v>3</v>
      </c>
      <c r="D15" s="23" t="s">
        <v>96</v>
      </c>
      <c r="E15" s="24">
        <v>103.3</v>
      </c>
      <c r="F15" s="110">
        <v>109.3</v>
      </c>
      <c r="G15" s="110">
        <v>110.71361283727515</v>
      </c>
      <c r="H15" s="130">
        <v>115.88651980934918</v>
      </c>
      <c r="I15" s="130">
        <v>117.34137520415702</v>
      </c>
      <c r="J15" s="130">
        <v>113.44941501776984</v>
      </c>
      <c r="K15" s="130">
        <v>111.91772068129468</v>
      </c>
      <c r="L15" s="110">
        <v>112.27410756566454</v>
      </c>
      <c r="M15" s="110">
        <v>129.8742052440237</v>
      </c>
      <c r="N15" s="23">
        <f>M15/L15*100</f>
        <v>115.67600763877421</v>
      </c>
      <c r="Q15" s="94"/>
    </row>
    <row r="16" spans="1:17" s="69" customFormat="1" x14ac:dyDescent="0.25">
      <c r="A16" s="267" t="s">
        <v>88</v>
      </c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9"/>
      <c r="P16" s="95"/>
      <c r="Q16" s="94"/>
    </row>
    <row r="17" spans="1:17" ht="60" x14ac:dyDescent="0.25">
      <c r="A17" s="12">
        <v>1</v>
      </c>
      <c r="B17" s="65" t="s">
        <v>14</v>
      </c>
      <c r="C17" s="124" t="s">
        <v>3</v>
      </c>
      <c r="D17" s="23">
        <v>85</v>
      </c>
      <c r="E17" s="23">
        <v>85</v>
      </c>
      <c r="F17" s="23">
        <v>84.7</v>
      </c>
      <c r="G17" s="23">
        <v>82.5</v>
      </c>
      <c r="H17" s="130">
        <v>80</v>
      </c>
      <c r="I17" s="110">
        <v>80.400000000000006</v>
      </c>
      <c r="J17" s="110">
        <v>79.7</v>
      </c>
      <c r="K17" s="110">
        <v>69.900000000000006</v>
      </c>
      <c r="L17" s="110">
        <v>85.5</v>
      </c>
      <c r="M17" s="110">
        <v>71.394638615541226</v>
      </c>
      <c r="N17" s="35">
        <f>M17/L17*100</f>
        <v>83.502501304726579</v>
      </c>
      <c r="Q17" s="94"/>
    </row>
    <row r="18" spans="1:17" ht="60" x14ac:dyDescent="0.25">
      <c r="A18" s="12">
        <f t="shared" ref="A18:A26" si="0">A17+1</f>
        <v>2</v>
      </c>
      <c r="B18" s="65" t="s">
        <v>26</v>
      </c>
      <c r="C18" s="124" t="s">
        <v>3</v>
      </c>
      <c r="D18" s="23">
        <v>97.2</v>
      </c>
      <c r="E18" s="23">
        <v>95.5</v>
      </c>
      <c r="F18" s="23">
        <v>77.400000000000006</v>
      </c>
      <c r="G18" s="23">
        <v>84.8</v>
      </c>
      <c r="H18" s="130">
        <v>96.5</v>
      </c>
      <c r="I18" s="110">
        <v>81</v>
      </c>
      <c r="J18" s="110">
        <v>77.400000000000006</v>
      </c>
      <c r="K18" s="110">
        <v>83.62</v>
      </c>
      <c r="L18" s="110">
        <v>97</v>
      </c>
      <c r="M18" s="110">
        <v>78.825385268778064</v>
      </c>
      <c r="N18" s="35">
        <f>M18/L18*100</f>
        <v>81.263283782245423</v>
      </c>
      <c r="Q18" s="94"/>
    </row>
    <row r="19" spans="1:17" ht="45" x14ac:dyDescent="0.25">
      <c r="A19" s="12">
        <f t="shared" si="0"/>
        <v>3</v>
      </c>
      <c r="B19" s="65" t="s">
        <v>616</v>
      </c>
      <c r="C19" s="124" t="s">
        <v>3</v>
      </c>
      <c r="D19" s="23">
        <v>65.7</v>
      </c>
      <c r="E19" s="23">
        <v>66</v>
      </c>
      <c r="F19" s="23">
        <v>63.8</v>
      </c>
      <c r="G19" s="23">
        <v>65.5</v>
      </c>
      <c r="H19" s="130">
        <v>66.8</v>
      </c>
      <c r="I19" s="110">
        <v>66.599999999999994</v>
      </c>
      <c r="J19" s="4">
        <v>63.822985024398449</v>
      </c>
      <c r="K19" s="4">
        <v>58.409836065573771</v>
      </c>
      <c r="L19" s="110">
        <v>67.52</v>
      </c>
      <c r="M19" s="110">
        <v>55.140821174075327</v>
      </c>
      <c r="N19" s="35">
        <f>M19/L19*100</f>
        <v>81.665908136959914</v>
      </c>
      <c r="Q19" s="94"/>
    </row>
    <row r="20" spans="1:17" ht="30" x14ac:dyDescent="0.25">
      <c r="A20" s="12">
        <f t="shared" si="0"/>
        <v>4</v>
      </c>
      <c r="B20" s="65" t="s">
        <v>15</v>
      </c>
      <c r="C20" s="124" t="s">
        <v>3</v>
      </c>
      <c r="D20" s="23">
        <v>32.4</v>
      </c>
      <c r="E20" s="23">
        <v>35.380000000000003</v>
      </c>
      <c r="F20" s="23">
        <v>38</v>
      </c>
      <c r="G20" s="23">
        <v>39.9</v>
      </c>
      <c r="H20" s="130">
        <v>42.2</v>
      </c>
      <c r="I20" s="110">
        <v>44.16</v>
      </c>
      <c r="J20" s="110">
        <v>46</v>
      </c>
      <c r="K20" s="110">
        <v>54.3</v>
      </c>
      <c r="L20" s="110">
        <v>41</v>
      </c>
      <c r="M20" s="110">
        <v>59.967492889069483</v>
      </c>
      <c r="N20" s="35">
        <f t="shared" ref="N20:N26" si="1">M20/L20*100</f>
        <v>146.26217777821827</v>
      </c>
      <c r="Q20" s="94"/>
    </row>
    <row r="21" spans="1:17" s="69" customFormat="1" x14ac:dyDescent="0.25">
      <c r="A21" s="12">
        <f t="shared" si="0"/>
        <v>5</v>
      </c>
      <c r="B21" s="65" t="s">
        <v>30</v>
      </c>
      <c r="C21" s="124" t="s">
        <v>20</v>
      </c>
      <c r="D21" s="23">
        <v>70.400000000000006</v>
      </c>
      <c r="E21" s="23">
        <v>71.7</v>
      </c>
      <c r="F21" s="133">
        <v>71.7</v>
      </c>
      <c r="G21" s="133">
        <v>71.2</v>
      </c>
      <c r="H21" s="130">
        <v>69.8</v>
      </c>
      <c r="I21" s="110">
        <v>68.34</v>
      </c>
      <c r="J21" s="110">
        <v>68.34</v>
      </c>
      <c r="K21" s="110">
        <v>70.58</v>
      </c>
      <c r="L21" s="110">
        <v>74</v>
      </c>
      <c r="M21" s="110">
        <v>71.540000000000006</v>
      </c>
      <c r="N21" s="35">
        <f t="shared" si="1"/>
        <v>96.675675675675691</v>
      </c>
      <c r="P21" s="95"/>
      <c r="Q21" s="94"/>
    </row>
    <row r="22" spans="1:17" s="69" customFormat="1" ht="30" x14ac:dyDescent="0.25">
      <c r="A22" s="12">
        <f t="shared" si="0"/>
        <v>6</v>
      </c>
      <c r="B22" s="65" t="s">
        <v>36</v>
      </c>
      <c r="C22" s="124" t="s">
        <v>9</v>
      </c>
      <c r="D22" s="23">
        <v>-1.1000000000000001</v>
      </c>
      <c r="E22" s="35">
        <v>-3.2</v>
      </c>
      <c r="F22" s="6">
        <v>-5.3</v>
      </c>
      <c r="G22" s="6">
        <v>-5.9</v>
      </c>
      <c r="H22" s="130">
        <v>-8.4</v>
      </c>
      <c r="I22" s="110">
        <v>-11.222066811957195</v>
      </c>
      <c r="J22" s="110">
        <v>-10.168733936752709</v>
      </c>
      <c r="K22" s="110">
        <v>-9.6506574863141275</v>
      </c>
      <c r="L22" s="110">
        <v>-0.87462629603714781</v>
      </c>
      <c r="M22" s="110">
        <v>-9.724411692085619</v>
      </c>
      <c r="N22" s="35">
        <f t="shared" si="1"/>
        <v>1111.8361906274763</v>
      </c>
      <c r="P22" s="95"/>
      <c r="Q22" s="94"/>
    </row>
    <row r="23" spans="1:17" s="69" customFormat="1" ht="30" x14ac:dyDescent="0.25">
      <c r="A23" s="12">
        <f t="shared" si="0"/>
        <v>7</v>
      </c>
      <c r="B23" s="65" t="s">
        <v>37</v>
      </c>
      <c r="C23" s="124" t="s">
        <v>94</v>
      </c>
      <c r="D23" s="23">
        <v>-22</v>
      </c>
      <c r="E23" s="35">
        <v>-22</v>
      </c>
      <c r="F23" s="6">
        <v>-7</v>
      </c>
      <c r="G23" s="6">
        <v>14.6</v>
      </c>
      <c r="H23" s="130">
        <v>115</v>
      </c>
      <c r="I23" s="110">
        <v>3.0901343395244445</v>
      </c>
      <c r="J23" s="110">
        <v>-7.26</v>
      </c>
      <c r="K23" s="110">
        <v>4.1386835223959215</v>
      </c>
      <c r="L23" s="110">
        <v>66.789644424654924</v>
      </c>
      <c r="M23" s="110">
        <v>-0.37985983172209448</v>
      </c>
      <c r="N23" s="35">
        <f t="shared" si="1"/>
        <v>-0.56874061090505212</v>
      </c>
      <c r="P23" s="95"/>
      <c r="Q23" s="94"/>
    </row>
    <row r="24" spans="1:17" ht="45" x14ac:dyDescent="0.25">
      <c r="A24" s="12">
        <f t="shared" si="0"/>
        <v>8</v>
      </c>
      <c r="B24" s="65" t="s">
        <v>613</v>
      </c>
      <c r="C24" s="124" t="s">
        <v>3</v>
      </c>
      <c r="D24" s="23">
        <v>233.4</v>
      </c>
      <c r="E24" s="35">
        <v>256.7</v>
      </c>
      <c r="F24" s="35">
        <v>329.9</v>
      </c>
      <c r="G24" s="35">
        <v>329.7</v>
      </c>
      <c r="H24" s="130">
        <v>127.8</v>
      </c>
      <c r="I24" s="110">
        <v>178.7</v>
      </c>
      <c r="J24" s="4">
        <v>144.56</v>
      </c>
      <c r="K24" s="4">
        <v>179</v>
      </c>
      <c r="L24" s="110">
        <v>293.02739802465436</v>
      </c>
      <c r="M24" s="110">
        <v>238.84678623400677</v>
      </c>
      <c r="N24" s="35">
        <f t="shared" si="1"/>
        <v>81.51005259034207</v>
      </c>
      <c r="Q24" s="94"/>
    </row>
    <row r="25" spans="1:17" x14ac:dyDescent="0.25">
      <c r="A25" s="12">
        <f t="shared" si="0"/>
        <v>9</v>
      </c>
      <c r="B25" s="134" t="s">
        <v>27</v>
      </c>
      <c r="C25" s="125" t="s">
        <v>18</v>
      </c>
      <c r="D25" s="29">
        <v>1437</v>
      </c>
      <c r="E25" s="29">
        <v>1452</v>
      </c>
      <c r="F25" s="30">
        <v>1453</v>
      </c>
      <c r="G25" s="30">
        <v>1458</v>
      </c>
      <c r="H25" s="131">
        <v>1469</v>
      </c>
      <c r="I25" s="115">
        <v>1481</v>
      </c>
      <c r="J25" s="115">
        <v>1481</v>
      </c>
      <c r="K25" s="115">
        <v>1483</v>
      </c>
      <c r="L25" s="115">
        <v>1612.9362155000001</v>
      </c>
      <c r="M25" s="115">
        <v>1483</v>
      </c>
      <c r="N25" s="35">
        <f t="shared" si="1"/>
        <v>91.944119410839775</v>
      </c>
      <c r="Q25" s="94"/>
    </row>
    <row r="26" spans="1:17" s="69" customFormat="1" ht="30" x14ac:dyDescent="0.25">
      <c r="A26" s="12">
        <f t="shared" si="0"/>
        <v>10</v>
      </c>
      <c r="B26" s="65" t="s">
        <v>28</v>
      </c>
      <c r="C26" s="125" t="s">
        <v>18</v>
      </c>
      <c r="D26" s="29">
        <v>24</v>
      </c>
      <c r="E26" s="29">
        <v>38</v>
      </c>
      <c r="F26" s="29">
        <v>74</v>
      </c>
      <c r="G26" s="29">
        <v>111</v>
      </c>
      <c r="H26" s="131">
        <v>147</v>
      </c>
      <c r="I26" s="15">
        <v>181</v>
      </c>
      <c r="J26" s="115">
        <v>223</v>
      </c>
      <c r="K26" s="15">
        <v>274</v>
      </c>
      <c r="L26" s="15">
        <v>122</v>
      </c>
      <c r="M26" s="15">
        <v>331</v>
      </c>
      <c r="N26" s="35">
        <f t="shared" si="1"/>
        <v>271.31147540983608</v>
      </c>
      <c r="P26" s="95"/>
      <c r="Q26" s="94"/>
    </row>
    <row r="27" spans="1:17" s="69" customFormat="1" x14ac:dyDescent="0.25">
      <c r="A27" s="267" t="s">
        <v>475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9"/>
      <c r="P27" s="95"/>
      <c r="Q27" s="94"/>
    </row>
    <row r="28" spans="1:17" ht="45" x14ac:dyDescent="0.25">
      <c r="A28" s="12">
        <v>1</v>
      </c>
      <c r="B28" s="135" t="s">
        <v>99</v>
      </c>
      <c r="C28" s="124" t="s">
        <v>3</v>
      </c>
      <c r="D28" s="23">
        <v>74.5</v>
      </c>
      <c r="E28" s="23">
        <v>72.5</v>
      </c>
      <c r="F28" s="23">
        <v>69.7</v>
      </c>
      <c r="G28" s="23">
        <v>49.3</v>
      </c>
      <c r="H28" s="130">
        <v>41.6</v>
      </c>
      <c r="I28" s="110">
        <v>35.049999999999997</v>
      </c>
      <c r="J28" s="110">
        <v>23</v>
      </c>
      <c r="K28" s="110">
        <v>15</v>
      </c>
      <c r="L28" s="110">
        <v>36.666666666666664</v>
      </c>
      <c r="M28" s="110">
        <v>15.810276679841898</v>
      </c>
      <c r="N28" s="23">
        <f>M28/L28*100</f>
        <v>43.118936399568817</v>
      </c>
      <c r="Q28" s="94"/>
    </row>
    <row r="29" spans="1:17" ht="18.75" customHeight="1" x14ac:dyDescent="0.25">
      <c r="A29" s="136">
        <f>A28+1</f>
        <v>2</v>
      </c>
      <c r="B29" s="129" t="s">
        <v>608</v>
      </c>
      <c r="C29" s="137"/>
      <c r="D29" s="23"/>
      <c r="E29" s="23"/>
      <c r="F29" s="23"/>
      <c r="G29" s="23"/>
      <c r="H29" s="130"/>
      <c r="I29" s="130"/>
      <c r="J29" s="130"/>
      <c r="K29" s="130"/>
      <c r="L29" s="110"/>
      <c r="M29" s="110"/>
      <c r="N29" s="23"/>
      <c r="Q29" s="94"/>
    </row>
    <row r="30" spans="1:17" x14ac:dyDescent="0.25">
      <c r="A30" s="136"/>
      <c r="B30" s="170" t="s">
        <v>593</v>
      </c>
      <c r="C30" s="124" t="s">
        <v>3</v>
      </c>
      <c r="D30" s="23">
        <v>97.7</v>
      </c>
      <c r="E30" s="23">
        <v>97.6</v>
      </c>
      <c r="F30" s="35">
        <v>97.6</v>
      </c>
      <c r="G30" s="35">
        <v>97.49839640795382</v>
      </c>
      <c r="H30" s="130">
        <v>97.467732022126611</v>
      </c>
      <c r="I30" s="110">
        <v>97.5</v>
      </c>
      <c r="J30" s="110">
        <v>96.8</v>
      </c>
      <c r="K30" s="110">
        <v>96.8</v>
      </c>
      <c r="L30" s="110">
        <v>96.452897492859407</v>
      </c>
      <c r="M30" s="110">
        <v>96.758560318688708</v>
      </c>
      <c r="N30" s="23">
        <f>M30/L30*100</f>
        <v>100.31690372583357</v>
      </c>
      <c r="Q30" s="94"/>
    </row>
    <row r="31" spans="1:17" x14ac:dyDescent="0.25">
      <c r="A31" s="136"/>
      <c r="B31" s="170" t="s">
        <v>594</v>
      </c>
      <c r="C31" s="124" t="s">
        <v>3</v>
      </c>
      <c r="D31" s="23">
        <v>97.5</v>
      </c>
      <c r="E31" s="23">
        <v>97.5</v>
      </c>
      <c r="F31" s="35">
        <v>97.5</v>
      </c>
      <c r="G31" s="35">
        <v>90.519693406159078</v>
      </c>
      <c r="H31" s="130">
        <v>97.489729240125499</v>
      </c>
      <c r="I31" s="110">
        <v>97.5</v>
      </c>
      <c r="J31" s="110">
        <v>97</v>
      </c>
      <c r="K31" s="110">
        <v>96.8</v>
      </c>
      <c r="L31" s="110">
        <v>96.405585528403677</v>
      </c>
      <c r="M31" s="110">
        <v>97.000875379013735</v>
      </c>
      <c r="N31" s="23">
        <f t="shared" ref="N31:N38" si="2">M31/L31*100</f>
        <v>100.61748481412903</v>
      </c>
      <c r="Q31" s="94"/>
    </row>
    <row r="32" spans="1:17" x14ac:dyDescent="0.25">
      <c r="A32" s="136"/>
      <c r="B32" s="170" t="s">
        <v>595</v>
      </c>
      <c r="C32" s="124" t="s">
        <v>3</v>
      </c>
      <c r="D32" s="23">
        <v>91.3</v>
      </c>
      <c r="E32" s="23">
        <v>91.1</v>
      </c>
      <c r="F32" s="35">
        <v>90.9</v>
      </c>
      <c r="G32" s="35">
        <v>90.785338957244022</v>
      </c>
      <c r="H32" s="130">
        <v>90.737230291463135</v>
      </c>
      <c r="I32" s="110">
        <v>90.7</v>
      </c>
      <c r="J32" s="110">
        <v>91.6</v>
      </c>
      <c r="K32" s="110">
        <v>91.3</v>
      </c>
      <c r="L32" s="110">
        <v>91.101847032688028</v>
      </c>
      <c r="M32" s="110">
        <v>92.45334483589815</v>
      </c>
      <c r="N32" s="23">
        <f t="shared" si="2"/>
        <v>101.48350208830036</v>
      </c>
      <c r="Q32" s="94"/>
    </row>
    <row r="33" spans="1:20" x14ac:dyDescent="0.25">
      <c r="A33" s="136"/>
      <c r="B33" s="170" t="s">
        <v>596</v>
      </c>
      <c r="C33" s="124" t="s">
        <v>3</v>
      </c>
      <c r="D33" s="23">
        <v>97.1</v>
      </c>
      <c r="E33" s="23">
        <v>97.1</v>
      </c>
      <c r="F33" s="35">
        <v>97.1</v>
      </c>
      <c r="G33" s="35">
        <v>90.707589039853303</v>
      </c>
      <c r="H33" s="130">
        <v>97.037492317148107</v>
      </c>
      <c r="I33" s="110">
        <v>97</v>
      </c>
      <c r="J33" s="110">
        <v>96.5</v>
      </c>
      <c r="K33" s="110">
        <v>96.4</v>
      </c>
      <c r="L33" s="110">
        <v>95.966562995874312</v>
      </c>
      <c r="M33" s="110">
        <v>96.525760247643461</v>
      </c>
      <c r="N33" s="23">
        <f t="shared" si="2"/>
        <v>100.5827000929409</v>
      </c>
      <c r="Q33" s="94"/>
    </row>
    <row r="34" spans="1:20" x14ac:dyDescent="0.25">
      <c r="A34" s="136"/>
      <c r="B34" s="170" t="s">
        <v>597</v>
      </c>
      <c r="C34" s="124" t="s">
        <v>3</v>
      </c>
      <c r="D34" s="23">
        <v>21.6</v>
      </c>
      <c r="E34" s="23">
        <v>21.5</v>
      </c>
      <c r="F34" s="35">
        <v>21.5</v>
      </c>
      <c r="G34" s="35">
        <v>21.420102241141372</v>
      </c>
      <c r="H34" s="130">
        <v>21.385177756930741</v>
      </c>
      <c r="I34" s="110">
        <v>21.4</v>
      </c>
      <c r="J34" s="110">
        <v>19.600000000000001</v>
      </c>
      <c r="K34" s="110">
        <v>19.5</v>
      </c>
      <c r="L34" s="110">
        <v>20.975385591875597</v>
      </c>
      <c r="M34" s="110">
        <v>19.363003184349743</v>
      </c>
      <c r="N34" s="23">
        <f t="shared" si="2"/>
        <v>92.312978464861317</v>
      </c>
      <c r="Q34" s="94"/>
    </row>
    <row r="35" spans="1:20" ht="45" x14ac:dyDescent="0.25">
      <c r="A35" s="136" t="s">
        <v>476</v>
      </c>
      <c r="B35" s="138" t="s">
        <v>34</v>
      </c>
      <c r="C35" s="124" t="s">
        <v>3</v>
      </c>
      <c r="D35" s="4">
        <v>99.8</v>
      </c>
      <c r="E35" s="4">
        <v>99.9</v>
      </c>
      <c r="F35" s="4">
        <v>100</v>
      </c>
      <c r="G35" s="4">
        <v>100</v>
      </c>
      <c r="H35" s="130">
        <v>100.00453967677501</v>
      </c>
      <c r="I35" s="110">
        <v>100</v>
      </c>
      <c r="J35" s="110">
        <v>98.5</v>
      </c>
      <c r="K35" s="110">
        <v>94.8</v>
      </c>
      <c r="L35" s="110">
        <v>100</v>
      </c>
      <c r="M35" s="110">
        <v>96.8</v>
      </c>
      <c r="N35" s="23">
        <f>M35/L35*100</f>
        <v>96.8</v>
      </c>
      <c r="Q35" s="94"/>
    </row>
    <row r="36" spans="1:20" ht="45" x14ac:dyDescent="0.25">
      <c r="A36" s="136" t="s">
        <v>477</v>
      </c>
      <c r="B36" s="65" t="s">
        <v>98</v>
      </c>
      <c r="C36" s="124" t="s">
        <v>3</v>
      </c>
      <c r="D36" s="24">
        <v>100</v>
      </c>
      <c r="E36" s="24">
        <v>100</v>
      </c>
      <c r="F36" s="24">
        <v>100</v>
      </c>
      <c r="G36" s="24">
        <v>100</v>
      </c>
      <c r="H36" s="130">
        <v>100</v>
      </c>
      <c r="I36" s="110">
        <v>100</v>
      </c>
      <c r="J36" s="110">
        <v>100</v>
      </c>
      <c r="K36" s="110">
        <v>100</v>
      </c>
      <c r="L36" s="110">
        <v>100</v>
      </c>
      <c r="M36" s="110">
        <v>100</v>
      </c>
      <c r="N36" s="23">
        <f t="shared" si="2"/>
        <v>100</v>
      </c>
      <c r="Q36" s="94"/>
    </row>
    <row r="37" spans="1:20" ht="45" x14ac:dyDescent="0.25">
      <c r="A37" s="136">
        <f>A36+1</f>
        <v>5</v>
      </c>
      <c r="B37" s="65" t="s">
        <v>35</v>
      </c>
      <c r="C37" s="124" t="s">
        <v>3</v>
      </c>
      <c r="D37" s="23">
        <v>90</v>
      </c>
      <c r="E37" s="23">
        <v>90</v>
      </c>
      <c r="F37" s="24">
        <v>100</v>
      </c>
      <c r="G37" s="24">
        <v>100</v>
      </c>
      <c r="H37" s="130">
        <v>100</v>
      </c>
      <c r="I37" s="110">
        <v>100</v>
      </c>
      <c r="J37" s="110">
        <v>100</v>
      </c>
      <c r="K37" s="110">
        <v>100</v>
      </c>
      <c r="L37" s="110">
        <v>95</v>
      </c>
      <c r="M37" s="110">
        <v>100</v>
      </c>
      <c r="N37" s="23">
        <f t="shared" si="2"/>
        <v>105.26315789473684</v>
      </c>
      <c r="Q37" s="94"/>
    </row>
    <row r="38" spans="1:20" ht="45" x14ac:dyDescent="0.25">
      <c r="A38" s="136">
        <f>A37+1</f>
        <v>6</v>
      </c>
      <c r="B38" s="112" t="s">
        <v>103</v>
      </c>
      <c r="C38" s="16" t="s">
        <v>3</v>
      </c>
      <c r="D38" s="23">
        <v>0</v>
      </c>
      <c r="E38" s="35">
        <v>10</v>
      </c>
      <c r="F38" s="35">
        <v>33.299999999999997</v>
      </c>
      <c r="G38" s="35">
        <v>33.267326732673268</v>
      </c>
      <c r="H38" s="110">
        <v>33.267326732673268</v>
      </c>
      <c r="I38" s="110">
        <v>33.299999999999997</v>
      </c>
      <c r="J38" s="110">
        <v>33.299999999999997</v>
      </c>
      <c r="K38" s="110">
        <v>33.299999999999997</v>
      </c>
      <c r="L38" s="110">
        <v>28</v>
      </c>
      <c r="M38" s="110">
        <v>33.299999999999997</v>
      </c>
      <c r="N38" s="23">
        <f t="shared" si="2"/>
        <v>118.92857142857143</v>
      </c>
      <c r="Q38" s="94"/>
    </row>
    <row r="39" spans="1:20" ht="30" x14ac:dyDescent="0.25">
      <c r="A39" s="136">
        <f>A38+1</f>
        <v>7</v>
      </c>
      <c r="B39" s="112" t="s">
        <v>25</v>
      </c>
      <c r="C39" s="125" t="s">
        <v>18</v>
      </c>
      <c r="D39" s="29">
        <v>24</v>
      </c>
      <c r="E39" s="29">
        <v>52</v>
      </c>
      <c r="F39" s="29">
        <v>85</v>
      </c>
      <c r="G39" s="29">
        <v>92</v>
      </c>
      <c r="H39" s="131">
        <v>96</v>
      </c>
      <c r="I39" s="115">
        <v>99</v>
      </c>
      <c r="J39" s="115">
        <v>105</v>
      </c>
      <c r="K39" s="115">
        <v>129</v>
      </c>
      <c r="L39" s="115">
        <v>168</v>
      </c>
      <c r="M39" s="115">
        <v>163</v>
      </c>
      <c r="N39" s="23">
        <f>M39/L39*100</f>
        <v>97.023809523809518</v>
      </c>
      <c r="Q39" s="94"/>
    </row>
    <row r="40" spans="1:20" x14ac:dyDescent="0.25">
      <c r="A40" s="200" t="s">
        <v>614</v>
      </c>
      <c r="B40" s="140"/>
      <c r="C40" s="8"/>
      <c r="D40" s="141"/>
      <c r="E40" s="141"/>
      <c r="F40" s="141"/>
      <c r="G40" s="141"/>
      <c r="H40" s="142"/>
      <c r="I40" s="9"/>
      <c r="J40" s="9"/>
      <c r="K40" s="9"/>
      <c r="L40" s="9"/>
      <c r="M40" s="9"/>
      <c r="N40" s="141"/>
      <c r="Q40" s="94"/>
    </row>
    <row r="41" spans="1:20" x14ac:dyDescent="0.25">
      <c r="A41" s="200"/>
      <c r="B41" s="140"/>
      <c r="C41" s="8"/>
      <c r="D41" s="141"/>
      <c r="E41" s="141"/>
      <c r="F41" s="141"/>
      <c r="G41" s="141"/>
      <c r="H41" s="142"/>
      <c r="I41" s="9"/>
      <c r="J41" s="9"/>
      <c r="K41" s="9"/>
      <c r="L41" s="9"/>
      <c r="M41" s="9"/>
      <c r="N41" s="141"/>
      <c r="Q41" s="94"/>
    </row>
    <row r="42" spans="1:20" x14ac:dyDescent="0.25">
      <c r="A42" s="143"/>
      <c r="B42" s="143"/>
      <c r="C42" s="143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</row>
    <row r="43" spans="1:20" ht="15.75" x14ac:dyDescent="0.25">
      <c r="A43" s="145" t="s">
        <v>391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96"/>
      <c r="P43" s="96"/>
      <c r="Q43" s="96"/>
      <c r="R43" s="96"/>
      <c r="S43" s="96"/>
      <c r="T43" s="96"/>
    </row>
    <row r="44" spans="1:20" ht="15.75" x14ac:dyDescent="0.25">
      <c r="A44" s="96" t="s">
        <v>392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</row>
    <row r="45" spans="1:20" ht="15.75" x14ac:dyDescent="0.25">
      <c r="A45" s="96" t="s">
        <v>478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</row>
    <row r="46" spans="1:20" ht="15.75" x14ac:dyDescent="0.25">
      <c r="A46" s="96" t="s">
        <v>394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271" t="s">
        <v>395</v>
      </c>
      <c r="N46" s="271"/>
      <c r="O46" s="96"/>
      <c r="P46" s="96"/>
      <c r="Q46" s="96"/>
      <c r="R46" s="96"/>
      <c r="S46" s="96"/>
      <c r="T46" s="96"/>
    </row>
    <row r="47" spans="1:20" ht="15.75" x14ac:dyDescent="0.25">
      <c r="A47" s="272"/>
      <c r="B47" s="272"/>
      <c r="C47" s="272"/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</row>
    <row r="48" spans="1:20" ht="15.75" x14ac:dyDescent="0.25"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</row>
    <row r="87" spans="1:2" x14ac:dyDescent="0.25">
      <c r="A87" s="270" t="s">
        <v>590</v>
      </c>
      <c r="B87" s="270"/>
    </row>
    <row r="88" spans="1:2" x14ac:dyDescent="0.25">
      <c r="A88" s="273">
        <v>45791</v>
      </c>
      <c r="B88" s="273"/>
    </row>
  </sheetData>
  <mergeCells count="21">
    <mergeCell ref="M1:N1"/>
    <mergeCell ref="A10:N10"/>
    <mergeCell ref="A16:N16"/>
    <mergeCell ref="A4:N4"/>
    <mergeCell ref="A7:A9"/>
    <mergeCell ref="B7:B9"/>
    <mergeCell ref="C7:C9"/>
    <mergeCell ref="D7:D9"/>
    <mergeCell ref="E7:E9"/>
    <mergeCell ref="F7:F9"/>
    <mergeCell ref="G7:G9"/>
    <mergeCell ref="H7:H9"/>
    <mergeCell ref="L7:N8"/>
    <mergeCell ref="I7:I9"/>
    <mergeCell ref="J7:J9"/>
    <mergeCell ref="K7:K9"/>
    <mergeCell ref="A27:N27"/>
    <mergeCell ref="A87:B87"/>
    <mergeCell ref="M46:N46"/>
    <mergeCell ref="A47:T47"/>
    <mergeCell ref="A88:B88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59" firstPageNumber="127" fitToHeight="0" orientation="landscape" useFirstPageNumber="1" r:id="rId1"/>
  <headerFooter>
    <oddFooter>&amp;R&amp;"Times New Roman,обычный"&amp;P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8"/>
  <sheetViews>
    <sheetView view="pageBreakPreview" topLeftCell="A2" zoomScaleNormal="100" zoomScaleSheetLayoutView="100" zoomScalePageLayoutView="89" workbookViewId="0">
      <pane ySplit="6" topLeftCell="A68" activePane="bottomLeft" state="frozen"/>
      <selection activeCell="A2" sqref="A2"/>
      <selection pane="bottomLeft" activeCell="K75" sqref="K75"/>
    </sheetView>
  </sheetViews>
  <sheetFormatPr defaultRowHeight="15" x14ac:dyDescent="0.25"/>
  <cols>
    <col min="1" max="1" width="4.7109375" customWidth="1"/>
    <col min="2" max="2" width="61.28515625" customWidth="1"/>
    <col min="3" max="3" width="16.140625" customWidth="1"/>
    <col min="4" max="5" width="16.42578125" customWidth="1"/>
    <col min="6" max="6" width="16.42578125" style="62" customWidth="1"/>
    <col min="7" max="13" width="15.7109375" customWidth="1"/>
    <col min="14" max="14" width="15" customWidth="1"/>
    <col min="15" max="15" width="9.140625" style="99"/>
  </cols>
  <sheetData>
    <row r="1" spans="1:18" hidden="1" x14ac:dyDescent="0.25">
      <c r="A1" s="146"/>
      <c r="B1" s="146"/>
      <c r="C1" s="146"/>
      <c r="D1" s="146"/>
      <c r="E1" s="146"/>
      <c r="F1" s="147"/>
      <c r="G1" s="146"/>
      <c r="H1" s="146"/>
      <c r="I1" s="146"/>
      <c r="J1" s="146"/>
      <c r="K1" s="146"/>
      <c r="L1" s="146"/>
      <c r="M1" s="146"/>
      <c r="N1" s="146"/>
    </row>
    <row r="2" spans="1:18" ht="42" customHeight="1" x14ac:dyDescent="0.25">
      <c r="A2" s="291" t="s">
        <v>591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</row>
    <row r="3" spans="1:18" s="159" customForma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158"/>
    </row>
    <row r="4" spans="1:18" s="159" customFormat="1" ht="15.75" x14ac:dyDescent="0.25">
      <c r="A4" s="20"/>
      <c r="B4" s="160"/>
      <c r="C4" s="160"/>
      <c r="D4" s="160"/>
      <c r="E4" s="160"/>
      <c r="F4" s="161"/>
      <c r="G4" s="160"/>
      <c r="H4" s="160"/>
      <c r="I4" s="160"/>
      <c r="J4" s="160"/>
      <c r="K4" s="160"/>
      <c r="M4" s="162"/>
      <c r="N4" s="162" t="s">
        <v>480</v>
      </c>
      <c r="O4" s="158"/>
    </row>
    <row r="5" spans="1:18" ht="8.25" customHeight="1" x14ac:dyDescent="0.25">
      <c r="A5" s="276" t="s">
        <v>0</v>
      </c>
      <c r="B5" s="276" t="s">
        <v>7</v>
      </c>
      <c r="C5" s="276" t="s">
        <v>1</v>
      </c>
      <c r="D5" s="290" t="s">
        <v>481</v>
      </c>
      <c r="E5" s="290" t="s">
        <v>482</v>
      </c>
      <c r="F5" s="290" t="s">
        <v>483</v>
      </c>
      <c r="G5" s="290" t="s">
        <v>484</v>
      </c>
      <c r="H5" s="276" t="s">
        <v>485</v>
      </c>
      <c r="I5" s="276" t="s">
        <v>486</v>
      </c>
      <c r="J5" s="276" t="s">
        <v>487</v>
      </c>
      <c r="K5" s="290" t="s">
        <v>488</v>
      </c>
      <c r="L5" s="290" t="s">
        <v>489</v>
      </c>
      <c r="M5" s="290"/>
      <c r="N5" s="290"/>
    </row>
    <row r="6" spans="1:18" ht="7.5" customHeight="1" x14ac:dyDescent="0.25">
      <c r="A6" s="276"/>
      <c r="B6" s="276"/>
      <c r="C6" s="276"/>
      <c r="D6" s="290"/>
      <c r="E6" s="290"/>
      <c r="F6" s="290"/>
      <c r="G6" s="290"/>
      <c r="H6" s="276"/>
      <c r="I6" s="276"/>
      <c r="J6" s="276"/>
      <c r="K6" s="290"/>
      <c r="L6" s="290"/>
      <c r="M6" s="290"/>
      <c r="N6" s="290"/>
    </row>
    <row r="7" spans="1:18" ht="15" customHeight="1" x14ac:dyDescent="0.25">
      <c r="A7" s="276"/>
      <c r="B7" s="276"/>
      <c r="C7" s="276"/>
      <c r="D7" s="290"/>
      <c r="E7" s="290"/>
      <c r="F7" s="290"/>
      <c r="G7" s="290"/>
      <c r="H7" s="276"/>
      <c r="I7" s="276"/>
      <c r="J7" s="276"/>
      <c r="K7" s="290"/>
      <c r="L7" s="124" t="s">
        <v>396</v>
      </c>
      <c r="M7" s="124" t="s">
        <v>397</v>
      </c>
      <c r="N7" s="124" t="s">
        <v>490</v>
      </c>
    </row>
    <row r="8" spans="1:18" x14ac:dyDescent="0.25">
      <c r="A8" s="292" t="s">
        <v>479</v>
      </c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</row>
    <row r="9" spans="1:18" s="18" customFormat="1" x14ac:dyDescent="0.25">
      <c r="A9" s="12">
        <v>1</v>
      </c>
      <c r="B9" s="129" t="s">
        <v>10</v>
      </c>
      <c r="C9" s="16" t="s">
        <v>8</v>
      </c>
      <c r="D9" s="163">
        <v>62.567999999999998</v>
      </c>
      <c r="E9" s="164">
        <v>62.354999999999997</v>
      </c>
      <c r="F9" s="164">
        <v>62.08</v>
      </c>
      <c r="G9" s="164">
        <v>61.774000000000001</v>
      </c>
      <c r="H9" s="165">
        <v>61.726999999999997</v>
      </c>
      <c r="I9" s="3">
        <v>61.485999999999997</v>
      </c>
      <c r="J9" s="3">
        <v>53.694000000000003</v>
      </c>
      <c r="K9" s="148">
        <v>53.156999999999996</v>
      </c>
      <c r="L9" s="148">
        <v>62.884</v>
      </c>
      <c r="M9" s="148">
        <v>52.651000000000003</v>
      </c>
      <c r="N9" s="109">
        <f>M9/L9*100</f>
        <v>83.727180204821579</v>
      </c>
      <c r="O9" s="100"/>
      <c r="Q9" s="93"/>
      <c r="R9" s="94"/>
    </row>
    <row r="10" spans="1:18" s="101" customFormat="1" x14ac:dyDescent="0.25">
      <c r="A10" s="12">
        <f t="shared" ref="A10:A17" si="0">A9+1</f>
        <v>2</v>
      </c>
      <c r="B10" s="132" t="s">
        <v>92</v>
      </c>
      <c r="C10" s="16" t="s">
        <v>8</v>
      </c>
      <c r="D10" s="164">
        <v>25.055</v>
      </c>
      <c r="E10" s="164">
        <v>24.300999999999998</v>
      </c>
      <c r="F10" s="164">
        <v>23.521000000000001</v>
      </c>
      <c r="G10" s="164">
        <v>23.204000000000001</v>
      </c>
      <c r="H10" s="165">
        <v>22.547000000000001</v>
      </c>
      <c r="I10" s="3">
        <v>22.736000000000001</v>
      </c>
      <c r="J10" s="3">
        <v>21.841999999999999</v>
      </c>
      <c r="K10" s="3">
        <v>22.637</v>
      </c>
      <c r="L10" s="3">
        <v>27.988999999999997</v>
      </c>
      <c r="M10" s="3">
        <v>23.012</v>
      </c>
      <c r="N10" s="109">
        <f t="shared" ref="N10:N17" si="1">M10/L10*100</f>
        <v>82.218014219872103</v>
      </c>
      <c r="O10" s="100"/>
      <c r="Q10" s="102"/>
      <c r="R10" s="94"/>
    </row>
    <row r="11" spans="1:18" s="64" customFormat="1" x14ac:dyDescent="0.25">
      <c r="A11" s="12">
        <f t="shared" si="0"/>
        <v>3</v>
      </c>
      <c r="B11" s="149" t="s">
        <v>93</v>
      </c>
      <c r="C11" s="16" t="s">
        <v>22</v>
      </c>
      <c r="D11" s="23">
        <v>34494.300000000003</v>
      </c>
      <c r="E11" s="24">
        <v>36649.5</v>
      </c>
      <c r="F11" s="24">
        <v>39788.1</v>
      </c>
      <c r="G11" s="24">
        <v>42375.4</v>
      </c>
      <c r="H11" s="130">
        <v>45863.4</v>
      </c>
      <c r="I11" s="4">
        <v>49594.6</v>
      </c>
      <c r="J11" s="4">
        <v>54763.3</v>
      </c>
      <c r="K11" s="4" t="s">
        <v>398</v>
      </c>
      <c r="L11" s="4">
        <v>52393.51</v>
      </c>
      <c r="M11" s="4">
        <v>72299.3</v>
      </c>
      <c r="N11" s="109">
        <f t="shared" si="1"/>
        <v>137.99285445850069</v>
      </c>
      <c r="O11" s="100"/>
      <c r="Q11" s="103"/>
      <c r="R11" s="94"/>
    </row>
    <row r="12" spans="1:18" s="64" customFormat="1" ht="30" x14ac:dyDescent="0.25">
      <c r="A12" s="12">
        <f t="shared" si="0"/>
        <v>4</v>
      </c>
      <c r="B12" s="150" t="s">
        <v>23</v>
      </c>
      <c r="C12" s="124" t="s">
        <v>100</v>
      </c>
      <c r="D12" s="23">
        <v>28691844.800000001</v>
      </c>
      <c r="E12" s="24">
        <v>29780218.199999999</v>
      </c>
      <c r="F12" s="6">
        <v>29472096.609999999</v>
      </c>
      <c r="G12" s="6">
        <v>30333485.100000001</v>
      </c>
      <c r="H12" s="128">
        <v>28512412.920000002</v>
      </c>
      <c r="I12" s="4">
        <v>30455717.199999999</v>
      </c>
      <c r="J12" s="4">
        <v>37198985.5</v>
      </c>
      <c r="K12" s="4">
        <v>40940126.200000003</v>
      </c>
      <c r="L12" s="4">
        <v>63641250.224036649</v>
      </c>
      <c r="M12" s="4">
        <v>50567693.799999997</v>
      </c>
      <c r="N12" s="109">
        <f t="shared" si="1"/>
        <v>79.457417354288708</v>
      </c>
      <c r="O12" s="100"/>
      <c r="Q12" s="103"/>
      <c r="R12" s="94"/>
    </row>
    <row r="13" spans="1:18" s="64" customFormat="1" ht="30" x14ac:dyDescent="0.25">
      <c r="A13" s="12">
        <f t="shared" si="0"/>
        <v>5</v>
      </c>
      <c r="B13" s="112" t="s">
        <v>102</v>
      </c>
      <c r="C13" s="124" t="s">
        <v>100</v>
      </c>
      <c r="D13" s="23">
        <v>24298740.699999999</v>
      </c>
      <c r="E13" s="24">
        <v>25253419.899999999</v>
      </c>
      <c r="F13" s="6">
        <v>24827677.406400003</v>
      </c>
      <c r="G13" s="6">
        <v>25743517.100000001</v>
      </c>
      <c r="H13" s="128">
        <v>24623692.300000001</v>
      </c>
      <c r="I13" s="4">
        <v>26101120.899999999</v>
      </c>
      <c r="J13" s="4">
        <v>30737925.399999999</v>
      </c>
      <c r="K13" s="4">
        <v>35759630.5</v>
      </c>
      <c r="L13" s="4">
        <v>56983769.077932186</v>
      </c>
      <c r="M13" s="4">
        <v>45302351.899999999</v>
      </c>
      <c r="N13" s="109">
        <f t="shared" si="1"/>
        <v>79.500448343533677</v>
      </c>
      <c r="O13" s="100"/>
      <c r="Q13" s="103"/>
      <c r="R13" s="94"/>
    </row>
    <row r="14" spans="1:18" s="64" customFormat="1" ht="30" x14ac:dyDescent="0.25">
      <c r="A14" s="12">
        <f t="shared" si="0"/>
        <v>6</v>
      </c>
      <c r="B14" s="132" t="s">
        <v>11</v>
      </c>
      <c r="C14" s="16" t="s">
        <v>9</v>
      </c>
      <c r="D14" s="23">
        <v>10.6</v>
      </c>
      <c r="E14" s="4">
        <v>9.1</v>
      </c>
      <c r="F14" s="6">
        <v>7.3</v>
      </c>
      <c r="G14" s="6">
        <v>7.2</v>
      </c>
      <c r="H14" s="128">
        <v>6.5</v>
      </c>
      <c r="I14" s="4">
        <v>6.13</v>
      </c>
      <c r="J14" s="4">
        <v>6.16</v>
      </c>
      <c r="K14" s="4">
        <v>6.34</v>
      </c>
      <c r="L14" s="4">
        <v>11.37</v>
      </c>
      <c r="M14" s="4">
        <v>5.8688344001063601</v>
      </c>
      <c r="N14" s="109">
        <f t="shared" si="1"/>
        <v>51.616837292052423</v>
      </c>
      <c r="O14" s="100"/>
      <c r="Q14" s="103"/>
      <c r="R14" s="94"/>
    </row>
    <row r="15" spans="1:18" s="64" customFormat="1" ht="30" x14ac:dyDescent="0.25">
      <c r="A15" s="12">
        <f t="shared" si="0"/>
        <v>7</v>
      </c>
      <c r="B15" s="132" t="s">
        <v>12</v>
      </c>
      <c r="C15" s="16" t="s">
        <v>9</v>
      </c>
      <c r="D15" s="23">
        <v>11.7</v>
      </c>
      <c r="E15" s="4">
        <v>12.3</v>
      </c>
      <c r="F15" s="6">
        <v>12.6</v>
      </c>
      <c r="G15" s="6">
        <v>13.1</v>
      </c>
      <c r="H15" s="128">
        <v>14.9</v>
      </c>
      <c r="I15" s="4">
        <v>17.350000000000001</v>
      </c>
      <c r="J15" s="4">
        <v>16.333296085223701</v>
      </c>
      <c r="K15" s="4">
        <v>15.990368154711501</v>
      </c>
      <c r="L15" s="4">
        <v>12.24</v>
      </c>
      <c r="M15" s="4">
        <v>15.593246092191981</v>
      </c>
      <c r="N15" s="109">
        <f t="shared" si="1"/>
        <v>127.39580140679723</v>
      </c>
      <c r="O15" s="100"/>
      <c r="Q15" s="103"/>
      <c r="R15" s="94"/>
    </row>
    <row r="16" spans="1:18" s="64" customFormat="1" ht="30" customHeight="1" x14ac:dyDescent="0.25">
      <c r="A16" s="12">
        <f t="shared" si="0"/>
        <v>8</v>
      </c>
      <c r="B16" s="65" t="s">
        <v>4</v>
      </c>
      <c r="C16" s="124" t="s">
        <v>16</v>
      </c>
      <c r="D16" s="23">
        <v>24.5</v>
      </c>
      <c r="E16" s="23">
        <v>24.7</v>
      </c>
      <c r="F16" s="23">
        <v>24.9</v>
      </c>
      <c r="G16" s="23">
        <v>25.037879402365235</v>
      </c>
      <c r="H16" s="130">
        <v>25.002021966645639</v>
      </c>
      <c r="I16" s="4">
        <v>25.383067865903516</v>
      </c>
      <c r="J16" s="4">
        <v>29.150370618691102</v>
      </c>
      <c r="K16" s="4">
        <v>29.700829663787729</v>
      </c>
      <c r="L16" s="4">
        <v>25.054067807391387</v>
      </c>
      <c r="M16" s="4">
        <v>30.091431407356509</v>
      </c>
      <c r="N16" s="109">
        <f>M16/L16*100</f>
        <v>120.10597096922923</v>
      </c>
      <c r="O16" s="100"/>
      <c r="Q16" s="103"/>
      <c r="R16" s="94"/>
    </row>
    <row r="17" spans="1:18" s="64" customFormat="1" x14ac:dyDescent="0.25">
      <c r="A17" s="12">
        <f t="shared" si="0"/>
        <v>9</v>
      </c>
      <c r="B17" s="65" t="s">
        <v>6</v>
      </c>
      <c r="C17" s="124" t="s">
        <v>17</v>
      </c>
      <c r="D17" s="25">
        <v>0.12</v>
      </c>
      <c r="E17" s="25">
        <v>0.09</v>
      </c>
      <c r="F17" s="111">
        <v>0.06</v>
      </c>
      <c r="G17" s="111">
        <v>7.3155372810567554E-2</v>
      </c>
      <c r="H17" s="169">
        <v>5.1954574173376324E-2</v>
      </c>
      <c r="I17" s="1">
        <v>0.10530201997202616</v>
      </c>
      <c r="J17" s="1">
        <v>0.11383022311617685</v>
      </c>
      <c r="K17" s="1">
        <v>0.16084894071400224</v>
      </c>
      <c r="L17" s="1">
        <v>0.12721837033267605</v>
      </c>
      <c r="M17" s="1">
        <v>7.421511462270422E-2</v>
      </c>
      <c r="N17" s="109">
        <f t="shared" si="1"/>
        <v>58.336790849176644</v>
      </c>
      <c r="O17" s="100"/>
      <c r="Q17" s="103"/>
      <c r="R17" s="94"/>
    </row>
    <row r="18" spans="1:18" s="64" customFormat="1" x14ac:dyDescent="0.25">
      <c r="A18" s="293" t="s">
        <v>83</v>
      </c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100"/>
      <c r="Q18" s="103"/>
      <c r="R18" s="94"/>
    </row>
    <row r="19" spans="1:18" s="18" customFormat="1" x14ac:dyDescent="0.25">
      <c r="A19" s="288" t="s">
        <v>64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64"/>
    </row>
    <row r="20" spans="1:18" s="18" customFormat="1" x14ac:dyDescent="0.25">
      <c r="A20" s="288" t="s">
        <v>84</v>
      </c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64"/>
    </row>
    <row r="21" spans="1:18" s="19" customFormat="1" x14ac:dyDescent="0.25">
      <c r="A21" s="289" t="s">
        <v>89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104"/>
    </row>
    <row r="22" spans="1:18" s="18" customFormat="1" ht="33.75" customHeight="1" x14ac:dyDescent="0.25">
      <c r="A22" s="12">
        <v>1</v>
      </c>
      <c r="B22" s="151" t="s">
        <v>38</v>
      </c>
      <c r="C22" s="16" t="s">
        <v>21</v>
      </c>
      <c r="D22" s="12">
        <v>458.6</v>
      </c>
      <c r="E22" s="26">
        <v>477.59150348809237</v>
      </c>
      <c r="F22" s="26">
        <v>474.74382425902064</v>
      </c>
      <c r="G22" s="26">
        <v>491.03967850552016</v>
      </c>
      <c r="H22" s="152">
        <v>461.9</v>
      </c>
      <c r="I22" s="17">
        <v>495.32767133981724</v>
      </c>
      <c r="J22" s="17">
        <v>692.79594554326366</v>
      </c>
      <c r="K22" s="17">
        <v>770.17375322158898</v>
      </c>
      <c r="L22" s="6">
        <v>1012.0420174294995</v>
      </c>
      <c r="M22" s="17">
        <v>960.43178287212015</v>
      </c>
      <c r="N22" s="17">
        <f>M22/L22*100</f>
        <v>94.9003861827333</v>
      </c>
      <c r="O22" s="64"/>
    </row>
    <row r="23" spans="1:18" ht="33.75" customHeight="1" x14ac:dyDescent="0.25">
      <c r="A23" s="123">
        <v>2</v>
      </c>
      <c r="B23" s="108" t="s">
        <v>90</v>
      </c>
      <c r="C23" s="125" t="s">
        <v>3</v>
      </c>
      <c r="D23" s="114"/>
      <c r="E23" s="35">
        <v>103.8</v>
      </c>
      <c r="F23" s="35">
        <v>102.71942015384106</v>
      </c>
      <c r="G23" s="35">
        <v>105.72162686450891</v>
      </c>
      <c r="H23" s="35">
        <v>99.360842771601781</v>
      </c>
      <c r="I23" s="35">
        <v>106.14764373742882</v>
      </c>
      <c r="J23" s="35">
        <v>129.65003038075821</v>
      </c>
      <c r="K23" s="35">
        <v>142.68906891619602</v>
      </c>
      <c r="L23" s="35">
        <v>221.8095443763053</v>
      </c>
      <c r="M23" s="35">
        <v>176.24413540672711</v>
      </c>
      <c r="N23" s="17">
        <f>M23/L23*100</f>
        <v>79.457417354288708</v>
      </c>
    </row>
    <row r="24" spans="1:18" s="19" customFormat="1" x14ac:dyDescent="0.25">
      <c r="A24" s="287" t="s">
        <v>65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104"/>
    </row>
    <row r="25" spans="1:18" ht="30" x14ac:dyDescent="0.25">
      <c r="A25" s="125">
        <v>3</v>
      </c>
      <c r="B25" s="108" t="s">
        <v>19</v>
      </c>
      <c r="C25" s="125" t="s">
        <v>49</v>
      </c>
      <c r="D25" s="14">
        <v>234</v>
      </c>
      <c r="E25" s="14">
        <v>230</v>
      </c>
      <c r="F25" s="14">
        <v>246</v>
      </c>
      <c r="G25" s="15">
        <v>237</v>
      </c>
      <c r="H25" s="15">
        <v>223</v>
      </c>
      <c r="I25" s="15">
        <v>226.66</v>
      </c>
      <c r="J25" s="15">
        <v>266</v>
      </c>
      <c r="K25" s="15">
        <v>274</v>
      </c>
      <c r="L25" s="15">
        <v>308</v>
      </c>
      <c r="M25" s="15">
        <v>288</v>
      </c>
      <c r="N25" s="5">
        <f>M25/L25*100</f>
        <v>93.506493506493499</v>
      </c>
    </row>
    <row r="26" spans="1:18" ht="30" x14ac:dyDescent="0.25">
      <c r="A26" s="125">
        <v>4</v>
      </c>
      <c r="B26" s="108" t="s">
        <v>5</v>
      </c>
      <c r="C26" s="125" t="s">
        <v>3</v>
      </c>
      <c r="D26" s="11">
        <v>24.6</v>
      </c>
      <c r="E26" s="11">
        <v>22.2</v>
      </c>
      <c r="F26" s="11">
        <v>21.7</v>
      </c>
      <c r="G26" s="4">
        <v>21.3</v>
      </c>
      <c r="H26" s="4">
        <v>20.9</v>
      </c>
      <c r="I26" s="4">
        <v>20.6</v>
      </c>
      <c r="J26" s="4">
        <v>20.355278820620821</v>
      </c>
      <c r="K26" s="4">
        <v>19.370941379158015</v>
      </c>
      <c r="L26" s="4">
        <v>26.078102111543821</v>
      </c>
      <c r="M26" s="4">
        <v>18.868416478359119</v>
      </c>
      <c r="N26" s="5">
        <f>M26/L26*100</f>
        <v>72.353487986408197</v>
      </c>
    </row>
    <row r="27" spans="1:18" ht="30" x14ac:dyDescent="0.25">
      <c r="A27" s="125">
        <f>A26+1</f>
        <v>5</v>
      </c>
      <c r="B27" s="108" t="s">
        <v>91</v>
      </c>
      <c r="C27" s="125" t="s">
        <v>3</v>
      </c>
      <c r="D27" s="111"/>
      <c r="E27" s="35">
        <v>97.7</v>
      </c>
      <c r="F27" s="35">
        <v>105.8</v>
      </c>
      <c r="G27" s="4">
        <v>109.8</v>
      </c>
      <c r="H27" s="4">
        <v>106.7</v>
      </c>
      <c r="I27" s="4">
        <v>115.2</v>
      </c>
      <c r="J27" s="4">
        <v>134.9</v>
      </c>
      <c r="K27" s="4">
        <v>132.86240585669157</v>
      </c>
      <c r="L27" s="4">
        <v>192.64031416806927</v>
      </c>
      <c r="M27" s="4">
        <v>138.05590131875846</v>
      </c>
      <c r="N27" s="5">
        <f>M27/L27*100</f>
        <v>71.665114290828782</v>
      </c>
    </row>
    <row r="28" spans="1:18" s="19" customFormat="1" x14ac:dyDescent="0.25">
      <c r="A28" s="287" t="s">
        <v>66</v>
      </c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104"/>
    </row>
    <row r="29" spans="1:18" s="19" customFormat="1" ht="30" x14ac:dyDescent="0.25">
      <c r="A29" s="123">
        <v>6</v>
      </c>
      <c r="B29" s="153" t="s">
        <v>33</v>
      </c>
      <c r="C29" s="125" t="s">
        <v>3</v>
      </c>
      <c r="D29" s="17">
        <v>74.900000000000006</v>
      </c>
      <c r="E29" s="17">
        <v>74.099999999999994</v>
      </c>
      <c r="F29" s="6">
        <v>72.443636811629915</v>
      </c>
      <c r="G29" s="6">
        <v>72.564655846389599</v>
      </c>
      <c r="H29" s="6">
        <v>69.928356542505355</v>
      </c>
      <c r="I29" s="6">
        <v>69.671804614960323</v>
      </c>
      <c r="J29" s="6">
        <v>79.405242301959504</v>
      </c>
      <c r="K29" s="6">
        <v>83.593057607090103</v>
      </c>
      <c r="L29" s="6">
        <v>89.27341158458789</v>
      </c>
      <c r="M29" s="6">
        <v>83.979271586015628</v>
      </c>
      <c r="N29" s="5">
        <f>M29/L29*100</f>
        <v>94.069746070412037</v>
      </c>
      <c r="O29" s="104"/>
    </row>
    <row r="30" spans="1:18" ht="33.75" customHeight="1" x14ac:dyDescent="0.25">
      <c r="A30" s="123">
        <v>7</v>
      </c>
      <c r="B30" s="108" t="s">
        <v>39</v>
      </c>
      <c r="C30" s="125" t="s">
        <v>3</v>
      </c>
      <c r="D30" s="5">
        <v>1.2</v>
      </c>
      <c r="E30" s="5">
        <v>1.8</v>
      </c>
      <c r="F30" s="5">
        <v>2.4</v>
      </c>
      <c r="G30" s="4">
        <v>2.6</v>
      </c>
      <c r="H30" s="4">
        <v>1</v>
      </c>
      <c r="I30" s="4">
        <v>2.6</v>
      </c>
      <c r="J30" s="4">
        <v>3.1</v>
      </c>
      <c r="K30" s="110">
        <v>3.1</v>
      </c>
      <c r="L30" s="110">
        <v>2.1</v>
      </c>
      <c r="M30" s="110">
        <v>2.8985507246376812</v>
      </c>
      <c r="N30" s="5">
        <f>M30/L30*100</f>
        <v>138.02622498274673</v>
      </c>
    </row>
    <row r="31" spans="1:18" ht="45" x14ac:dyDescent="0.25">
      <c r="A31" s="123">
        <f>A30+1</f>
        <v>8</v>
      </c>
      <c r="B31" s="108" t="s">
        <v>40</v>
      </c>
      <c r="C31" s="125" t="s">
        <v>3</v>
      </c>
      <c r="D31" s="5">
        <v>60</v>
      </c>
      <c r="E31" s="5">
        <v>60</v>
      </c>
      <c r="F31" s="5">
        <v>100</v>
      </c>
      <c r="G31" s="4">
        <v>100</v>
      </c>
      <c r="H31" s="4">
        <v>98.7</v>
      </c>
      <c r="I31" s="4">
        <v>97.4</v>
      </c>
      <c r="J31" s="4">
        <v>97.7</v>
      </c>
      <c r="K31" s="4">
        <v>108.1</v>
      </c>
      <c r="L31" s="4">
        <v>60</v>
      </c>
      <c r="M31" s="4">
        <v>100</v>
      </c>
      <c r="N31" s="5">
        <f>M31/L31*100</f>
        <v>166.66666666666669</v>
      </c>
    </row>
    <row r="32" spans="1:18" s="19" customFormat="1" ht="18" customHeight="1" x14ac:dyDescent="0.25">
      <c r="A32" s="287" t="s">
        <v>67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104"/>
    </row>
    <row r="33" spans="1:15" s="19" customFormat="1" ht="18" customHeight="1" x14ac:dyDescent="0.25">
      <c r="A33" s="287" t="s">
        <v>68</v>
      </c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104"/>
    </row>
    <row r="34" spans="1:15" ht="21" customHeight="1" x14ac:dyDescent="0.25">
      <c r="A34" s="123">
        <v>9</v>
      </c>
      <c r="B34" s="7" t="s">
        <v>41</v>
      </c>
      <c r="C34" s="125" t="s">
        <v>3</v>
      </c>
      <c r="D34" s="13">
        <v>80</v>
      </c>
      <c r="E34" s="13">
        <v>80</v>
      </c>
      <c r="F34" s="13">
        <v>80</v>
      </c>
      <c r="G34" s="35">
        <v>80</v>
      </c>
      <c r="H34" s="35">
        <v>85.3</v>
      </c>
      <c r="I34" s="35">
        <v>85.3</v>
      </c>
      <c r="J34" s="35">
        <v>85.3</v>
      </c>
      <c r="K34" s="35">
        <v>88.8</v>
      </c>
      <c r="L34" s="35">
        <v>85</v>
      </c>
      <c r="M34" s="35">
        <v>88.8</v>
      </c>
      <c r="N34" s="5">
        <f>M34/L34*100</f>
        <v>104.47058823529412</v>
      </c>
    </row>
    <row r="35" spans="1:15" ht="65.25" customHeight="1" x14ac:dyDescent="0.25">
      <c r="A35" s="123">
        <f>A34+1</f>
        <v>10</v>
      </c>
      <c r="B35" s="7" t="s">
        <v>14</v>
      </c>
      <c r="C35" s="125" t="s">
        <v>3</v>
      </c>
      <c r="D35" s="13">
        <v>85</v>
      </c>
      <c r="E35" s="13">
        <v>85</v>
      </c>
      <c r="F35" s="13">
        <v>84.7</v>
      </c>
      <c r="G35" s="35">
        <v>82.5</v>
      </c>
      <c r="H35" s="35">
        <v>80</v>
      </c>
      <c r="I35" s="35">
        <v>80.400000000000006</v>
      </c>
      <c r="J35" s="35">
        <v>79.7</v>
      </c>
      <c r="K35" s="35">
        <v>69.900000000000006</v>
      </c>
      <c r="L35" s="35">
        <v>85.5</v>
      </c>
      <c r="M35" s="35">
        <v>71.394638615541226</v>
      </c>
      <c r="N35" s="5">
        <f>M35/L35*100</f>
        <v>83.502501304726579</v>
      </c>
    </row>
    <row r="36" spans="1:15" ht="105" x14ac:dyDescent="0.25">
      <c r="A36" s="123">
        <f>A35+1</f>
        <v>11</v>
      </c>
      <c r="B36" s="10" t="s">
        <v>42</v>
      </c>
      <c r="C36" s="125" t="s">
        <v>3</v>
      </c>
      <c r="D36" s="13">
        <v>30</v>
      </c>
      <c r="E36" s="13">
        <v>65</v>
      </c>
      <c r="F36" s="13">
        <v>82</v>
      </c>
      <c r="G36" s="35">
        <v>85.3</v>
      </c>
      <c r="H36" s="35">
        <v>100</v>
      </c>
      <c r="I36" s="35">
        <v>100</v>
      </c>
      <c r="J36" s="35">
        <v>100</v>
      </c>
      <c r="K36" s="35">
        <v>100</v>
      </c>
      <c r="L36" s="35">
        <v>100</v>
      </c>
      <c r="M36" s="35">
        <v>100</v>
      </c>
      <c r="N36" s="5">
        <f>M36/L36*100</f>
        <v>100</v>
      </c>
    </row>
    <row r="37" spans="1:15" ht="60" x14ac:dyDescent="0.25">
      <c r="A37" s="123">
        <v>12</v>
      </c>
      <c r="B37" s="7" t="s">
        <v>26</v>
      </c>
      <c r="C37" s="125" t="s">
        <v>3</v>
      </c>
      <c r="D37" s="11">
        <v>97.2</v>
      </c>
      <c r="E37" s="11">
        <v>95.5</v>
      </c>
      <c r="F37" s="11">
        <v>77.400000000000006</v>
      </c>
      <c r="G37" s="35">
        <v>84.8</v>
      </c>
      <c r="H37" s="35">
        <v>96.5</v>
      </c>
      <c r="I37" s="35">
        <v>81</v>
      </c>
      <c r="J37" s="35">
        <v>77.400000000000006</v>
      </c>
      <c r="K37" s="35">
        <v>83.62</v>
      </c>
      <c r="L37" s="35">
        <v>97.394535519125697</v>
      </c>
      <c r="M37" s="35">
        <v>78.825385268778064</v>
      </c>
      <c r="N37" s="5">
        <f>M37/L37*100</f>
        <v>80.934094349984193</v>
      </c>
    </row>
    <row r="38" spans="1:15" ht="60.75" customHeight="1" x14ac:dyDescent="0.25">
      <c r="A38" s="123">
        <f>A37+1</f>
        <v>13</v>
      </c>
      <c r="B38" s="108" t="s">
        <v>43</v>
      </c>
      <c r="C38" s="125" t="s">
        <v>3</v>
      </c>
      <c r="D38" s="11">
        <v>23.2</v>
      </c>
      <c r="E38" s="13">
        <v>26</v>
      </c>
      <c r="F38" s="13">
        <v>31.7</v>
      </c>
      <c r="G38" s="35">
        <v>34</v>
      </c>
      <c r="H38" s="35">
        <v>34.6</v>
      </c>
      <c r="I38" s="35">
        <v>37.200000000000003</v>
      </c>
      <c r="J38" s="35">
        <v>41</v>
      </c>
      <c r="K38" s="35">
        <v>45.5</v>
      </c>
      <c r="L38" s="35">
        <v>38</v>
      </c>
      <c r="M38" s="35">
        <v>43.049327354260093</v>
      </c>
      <c r="N38" s="5">
        <f>M38/L38*100</f>
        <v>113.28770356384234</v>
      </c>
    </row>
    <row r="39" spans="1:15" s="19" customFormat="1" x14ac:dyDescent="0.25">
      <c r="A39" s="287" t="s">
        <v>69</v>
      </c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104"/>
    </row>
    <row r="40" spans="1:15" s="19" customFormat="1" x14ac:dyDescent="0.25">
      <c r="A40" s="287" t="s">
        <v>70</v>
      </c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104"/>
    </row>
    <row r="41" spans="1:15" s="21" customFormat="1" x14ac:dyDescent="0.25">
      <c r="A41" s="172">
        <v>14</v>
      </c>
      <c r="B41" s="7" t="s">
        <v>30</v>
      </c>
      <c r="C41" s="173" t="s">
        <v>20</v>
      </c>
      <c r="D41" s="13">
        <v>70.400000000000006</v>
      </c>
      <c r="E41" s="13">
        <v>71.7</v>
      </c>
      <c r="F41" s="13">
        <v>71.7</v>
      </c>
      <c r="G41" s="35">
        <v>71.2</v>
      </c>
      <c r="H41" s="35">
        <v>69.8</v>
      </c>
      <c r="I41" s="35">
        <v>68.34</v>
      </c>
      <c r="J41" s="35">
        <v>68.34</v>
      </c>
      <c r="K41" s="35">
        <v>70.58</v>
      </c>
      <c r="L41" s="35">
        <v>74</v>
      </c>
      <c r="M41" s="35">
        <v>71.540000000000006</v>
      </c>
      <c r="N41" s="5">
        <f>M41/L41*100</f>
        <v>96.675675675675691</v>
      </c>
      <c r="O41" s="2"/>
    </row>
    <row r="42" spans="1:15" x14ac:dyDescent="0.25">
      <c r="A42" s="123">
        <v>15</v>
      </c>
      <c r="B42" s="7" t="s">
        <v>44</v>
      </c>
      <c r="C42" s="125" t="s">
        <v>3</v>
      </c>
      <c r="D42" s="11">
        <v>82.1</v>
      </c>
      <c r="E42" s="11">
        <v>90.3</v>
      </c>
      <c r="F42" s="11">
        <v>93.2</v>
      </c>
      <c r="G42" s="35">
        <v>90.5</v>
      </c>
      <c r="H42" s="35">
        <v>57.02</v>
      </c>
      <c r="I42" s="35">
        <v>38.409999999999997</v>
      </c>
      <c r="J42" s="35">
        <v>101.4</v>
      </c>
      <c r="K42" s="35">
        <v>100.1</v>
      </c>
      <c r="L42" s="35">
        <v>98</v>
      </c>
      <c r="M42" s="35">
        <v>100</v>
      </c>
      <c r="N42" s="5">
        <f>M42/L42*100</f>
        <v>102.04081632653062</v>
      </c>
    </row>
    <row r="43" spans="1:15" ht="30" x14ac:dyDescent="0.25">
      <c r="A43" s="123">
        <v>16</v>
      </c>
      <c r="B43" s="7" t="s">
        <v>45</v>
      </c>
      <c r="C43" s="125" t="s">
        <v>3</v>
      </c>
      <c r="D43" s="11">
        <v>44.3</v>
      </c>
      <c r="E43" s="11">
        <v>42.1</v>
      </c>
      <c r="F43" s="11">
        <v>41.7</v>
      </c>
      <c r="G43" s="35">
        <v>46.48</v>
      </c>
      <c r="H43" s="35">
        <v>56.67</v>
      </c>
      <c r="I43" s="35">
        <v>48.59</v>
      </c>
      <c r="J43" s="35">
        <v>49.7</v>
      </c>
      <c r="K43" s="35">
        <v>51.7</v>
      </c>
      <c r="L43" s="35">
        <v>50.6</v>
      </c>
      <c r="M43" s="35">
        <v>53.4</v>
      </c>
      <c r="N43" s="5">
        <f>M43/L43*100</f>
        <v>105.53359683794466</v>
      </c>
    </row>
    <row r="44" spans="1:15" s="19" customFormat="1" x14ac:dyDescent="0.25">
      <c r="A44" s="287" t="s">
        <v>71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104"/>
    </row>
    <row r="45" spans="1:15" ht="30" x14ac:dyDescent="0.25">
      <c r="A45" s="123">
        <v>17</v>
      </c>
      <c r="B45" s="7" t="s">
        <v>46</v>
      </c>
      <c r="C45" s="125" t="s">
        <v>2</v>
      </c>
      <c r="D45" s="14">
        <v>104</v>
      </c>
      <c r="E45" s="14">
        <v>156</v>
      </c>
      <c r="F45" s="14">
        <v>171</v>
      </c>
      <c r="G45" s="14">
        <v>159</v>
      </c>
      <c r="H45" s="14">
        <v>180</v>
      </c>
      <c r="I45" s="14">
        <v>220</v>
      </c>
      <c r="J45" s="14">
        <v>236</v>
      </c>
      <c r="K45" s="14">
        <v>225</v>
      </c>
      <c r="L45" s="14">
        <v>165</v>
      </c>
      <c r="M45" s="14">
        <v>198</v>
      </c>
      <c r="N45" s="35">
        <f>M45/L45*100</f>
        <v>120</v>
      </c>
    </row>
    <row r="46" spans="1:15" ht="34.5" customHeight="1" x14ac:dyDescent="0.25">
      <c r="A46" s="123">
        <v>18</v>
      </c>
      <c r="B46" s="7" t="s">
        <v>15</v>
      </c>
      <c r="C46" s="125" t="s">
        <v>3</v>
      </c>
      <c r="D46" s="13">
        <v>32.4</v>
      </c>
      <c r="E46" s="13">
        <v>35.380000000000003</v>
      </c>
      <c r="F46" s="13">
        <v>38</v>
      </c>
      <c r="G46" s="35">
        <v>39.9</v>
      </c>
      <c r="H46" s="35">
        <v>42.2</v>
      </c>
      <c r="I46" s="35">
        <v>44.16</v>
      </c>
      <c r="J46" s="35">
        <v>46</v>
      </c>
      <c r="K46" s="35">
        <v>54.3</v>
      </c>
      <c r="L46" s="35">
        <v>41</v>
      </c>
      <c r="M46" s="35">
        <v>59.967492889069483</v>
      </c>
      <c r="N46" s="35">
        <f>M46/L46*100</f>
        <v>146.26217777821827</v>
      </c>
    </row>
    <row r="47" spans="1:15" ht="33.75" customHeight="1" x14ac:dyDescent="0.25">
      <c r="A47" s="123">
        <v>19</v>
      </c>
      <c r="B47" s="7" t="s">
        <v>47</v>
      </c>
      <c r="C47" s="125" t="s">
        <v>2</v>
      </c>
      <c r="D47" s="14">
        <v>234</v>
      </c>
      <c r="E47" s="14">
        <v>626</v>
      </c>
      <c r="F47" s="14">
        <v>519</v>
      </c>
      <c r="G47" s="14">
        <v>545</v>
      </c>
      <c r="H47" s="14">
        <v>444</v>
      </c>
      <c r="I47" s="14">
        <v>772</v>
      </c>
      <c r="J47" s="14">
        <v>1215</v>
      </c>
      <c r="K47" s="14">
        <v>2707</v>
      </c>
      <c r="L47" s="14">
        <v>696</v>
      </c>
      <c r="M47" s="14">
        <v>4000</v>
      </c>
      <c r="N47" s="35">
        <f>M47/L47*100</f>
        <v>574.71264367816093</v>
      </c>
    </row>
    <row r="48" spans="1:15" s="21" customFormat="1" ht="31.5" customHeight="1" x14ac:dyDescent="0.25">
      <c r="A48" s="286" t="s">
        <v>72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"/>
    </row>
    <row r="49" spans="1:15" s="19" customFormat="1" ht="51.75" customHeight="1" x14ac:dyDescent="0.25">
      <c r="A49" s="123">
        <v>20</v>
      </c>
      <c r="B49" s="7" t="s">
        <v>48</v>
      </c>
      <c r="C49" s="125" t="s">
        <v>95</v>
      </c>
      <c r="D49" s="14">
        <v>2552</v>
      </c>
      <c r="E49" s="14">
        <v>2552</v>
      </c>
      <c r="F49" s="14">
        <v>2552</v>
      </c>
      <c r="G49" s="15">
        <v>2612</v>
      </c>
      <c r="H49" s="15">
        <v>1610</v>
      </c>
      <c r="I49" s="15">
        <v>1439</v>
      </c>
      <c r="J49" s="15">
        <v>4002</v>
      </c>
      <c r="K49" s="15">
        <v>4088</v>
      </c>
      <c r="L49" s="15">
        <v>2612</v>
      </c>
      <c r="M49" s="15">
        <v>4230</v>
      </c>
      <c r="N49" s="5">
        <f t="shared" ref="N49:N54" si="2">M49/L49*100</f>
        <v>161.9448698315467</v>
      </c>
      <c r="O49" s="104"/>
    </row>
    <row r="50" spans="1:15" ht="45" x14ac:dyDescent="0.25">
      <c r="A50" s="123">
        <v>21</v>
      </c>
      <c r="B50" s="7" t="s">
        <v>615</v>
      </c>
      <c r="C50" s="125" t="s">
        <v>3</v>
      </c>
      <c r="D50" s="35">
        <v>233.4</v>
      </c>
      <c r="E50" s="35">
        <v>256.7</v>
      </c>
      <c r="F50" s="35">
        <v>329.9</v>
      </c>
      <c r="G50" s="4">
        <v>329.7</v>
      </c>
      <c r="H50" s="4">
        <v>127.8</v>
      </c>
      <c r="I50" s="4">
        <v>178.7</v>
      </c>
      <c r="J50" s="4">
        <v>144.56</v>
      </c>
      <c r="K50" s="4">
        <v>179</v>
      </c>
      <c r="L50" s="4">
        <v>293.02739802465436</v>
      </c>
      <c r="M50" s="4">
        <v>238.84678623400677</v>
      </c>
      <c r="N50" s="5">
        <f t="shared" si="2"/>
        <v>81.51005259034207</v>
      </c>
    </row>
    <row r="51" spans="1:15" x14ac:dyDescent="0.25">
      <c r="A51" s="123">
        <f>A50+1</f>
        <v>22</v>
      </c>
      <c r="B51" s="7" t="s">
        <v>27</v>
      </c>
      <c r="C51" s="125" t="s">
        <v>49</v>
      </c>
      <c r="D51" s="14">
        <v>1437</v>
      </c>
      <c r="E51" s="14">
        <v>1452</v>
      </c>
      <c r="F51" s="14">
        <v>1453</v>
      </c>
      <c r="G51" s="15">
        <v>1458</v>
      </c>
      <c r="H51" s="15">
        <v>1469</v>
      </c>
      <c r="I51" s="15">
        <v>1481</v>
      </c>
      <c r="J51" s="15">
        <v>1481</v>
      </c>
      <c r="K51" s="15">
        <v>1483</v>
      </c>
      <c r="L51" s="15">
        <v>1612.9362155000001</v>
      </c>
      <c r="M51" s="15">
        <v>1483</v>
      </c>
      <c r="N51" s="5">
        <f t="shared" si="2"/>
        <v>91.944119410839775</v>
      </c>
    </row>
    <row r="52" spans="1:15" ht="30" x14ac:dyDescent="0.25">
      <c r="A52" s="123">
        <f>A51+1</f>
        <v>23</v>
      </c>
      <c r="B52" s="7" t="s">
        <v>50</v>
      </c>
      <c r="C52" s="125" t="s">
        <v>49</v>
      </c>
      <c r="D52" s="14">
        <v>21124</v>
      </c>
      <c r="E52" s="14">
        <v>21229</v>
      </c>
      <c r="F52" s="14">
        <v>21353</v>
      </c>
      <c r="G52" s="14">
        <v>21734</v>
      </c>
      <c r="H52" s="14">
        <v>21922</v>
      </c>
      <c r="I52" s="14">
        <v>22783</v>
      </c>
      <c r="J52" s="14">
        <v>22979</v>
      </c>
      <c r="K52" s="14">
        <v>23132</v>
      </c>
      <c r="L52" s="14">
        <v>21653</v>
      </c>
      <c r="M52" s="14">
        <v>23284</v>
      </c>
      <c r="N52" s="5">
        <f t="shared" si="2"/>
        <v>107.53244354131067</v>
      </c>
    </row>
    <row r="53" spans="1:15" ht="30" x14ac:dyDescent="0.25">
      <c r="A53" s="123">
        <v>24</v>
      </c>
      <c r="B53" s="7" t="s">
        <v>51</v>
      </c>
      <c r="C53" s="125" t="s">
        <v>2</v>
      </c>
      <c r="D53" s="14">
        <v>33112</v>
      </c>
      <c r="E53" s="14">
        <v>32231</v>
      </c>
      <c r="F53" s="14">
        <v>32429</v>
      </c>
      <c r="G53" s="14">
        <v>32426</v>
      </c>
      <c r="H53" s="14">
        <v>17372</v>
      </c>
      <c r="I53" s="14">
        <v>12793</v>
      </c>
      <c r="J53" s="14">
        <v>33084</v>
      </c>
      <c r="K53" s="14">
        <v>33179</v>
      </c>
      <c r="L53" s="14">
        <v>32266</v>
      </c>
      <c r="M53" s="14">
        <v>36454</v>
      </c>
      <c r="N53" s="5">
        <f t="shared" si="2"/>
        <v>112.9796070166739</v>
      </c>
    </row>
    <row r="54" spans="1:15" ht="65.25" customHeight="1" x14ac:dyDescent="0.25">
      <c r="A54" s="123">
        <v>25</v>
      </c>
      <c r="B54" s="7" t="s">
        <v>52</v>
      </c>
      <c r="C54" s="125" t="s">
        <v>3</v>
      </c>
      <c r="D54" s="13">
        <v>10</v>
      </c>
      <c r="E54" s="13">
        <v>10</v>
      </c>
      <c r="F54" s="13">
        <v>10</v>
      </c>
      <c r="G54" s="35">
        <v>9.26</v>
      </c>
      <c r="H54" s="35">
        <v>9.58</v>
      </c>
      <c r="I54" s="35">
        <v>8.1</v>
      </c>
      <c r="J54" s="35">
        <v>9.18</v>
      </c>
      <c r="K54" s="35">
        <v>8.8000000000000007</v>
      </c>
      <c r="L54" s="35">
        <v>16.5</v>
      </c>
      <c r="M54" s="35">
        <v>8.8937342207941246</v>
      </c>
      <c r="N54" s="5">
        <f t="shared" si="2"/>
        <v>53.901419519964392</v>
      </c>
    </row>
    <row r="55" spans="1:15" s="19" customFormat="1" x14ac:dyDescent="0.25">
      <c r="A55" s="287" t="s">
        <v>73</v>
      </c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104"/>
    </row>
    <row r="56" spans="1:15" s="19" customFormat="1" ht="33" customHeight="1" x14ac:dyDescent="0.25">
      <c r="A56" s="125">
        <v>26</v>
      </c>
      <c r="B56" s="108" t="s">
        <v>28</v>
      </c>
      <c r="C56" s="125" t="s">
        <v>49</v>
      </c>
      <c r="D56" s="14">
        <v>24</v>
      </c>
      <c r="E56" s="14">
        <v>38</v>
      </c>
      <c r="F56" s="14">
        <v>74</v>
      </c>
      <c r="G56" s="14">
        <v>111</v>
      </c>
      <c r="H56" s="14">
        <v>147</v>
      </c>
      <c r="I56" s="14">
        <v>181</v>
      </c>
      <c r="J56" s="14">
        <v>223</v>
      </c>
      <c r="K56" s="14">
        <v>274</v>
      </c>
      <c r="L56" s="14">
        <v>122</v>
      </c>
      <c r="M56" s="14">
        <v>331</v>
      </c>
      <c r="N56" s="13">
        <f>M56/L56*100</f>
        <v>271.31147540983608</v>
      </c>
      <c r="O56" s="104"/>
    </row>
    <row r="57" spans="1:15" ht="33.75" customHeight="1" x14ac:dyDescent="0.25">
      <c r="A57" s="125">
        <v>27</v>
      </c>
      <c r="B57" s="108" t="s">
        <v>97</v>
      </c>
      <c r="C57" s="125" t="s">
        <v>3</v>
      </c>
      <c r="D57" s="13">
        <v>20</v>
      </c>
      <c r="E57" s="13">
        <v>24</v>
      </c>
      <c r="F57" s="13">
        <v>25</v>
      </c>
      <c r="G57" s="4">
        <v>25</v>
      </c>
      <c r="H57" s="4">
        <v>25</v>
      </c>
      <c r="I57" s="4">
        <v>25</v>
      </c>
      <c r="J57" s="4">
        <v>25</v>
      </c>
      <c r="K57" s="4">
        <v>25</v>
      </c>
      <c r="L57" s="4">
        <v>25</v>
      </c>
      <c r="M57" s="4">
        <v>25.116534137647385</v>
      </c>
      <c r="N57" s="13">
        <f>M57/L57*100</f>
        <v>100.46613655058954</v>
      </c>
    </row>
    <row r="58" spans="1:15" ht="30" x14ac:dyDescent="0.25">
      <c r="A58" s="125">
        <v>28</v>
      </c>
      <c r="B58" s="108" t="s">
        <v>85</v>
      </c>
      <c r="C58" s="125"/>
      <c r="D58" s="11"/>
      <c r="E58" s="11"/>
      <c r="F58" s="11"/>
      <c r="G58" s="35"/>
      <c r="H58" s="35"/>
      <c r="I58" s="35"/>
      <c r="J58" s="35"/>
      <c r="K58" s="35"/>
      <c r="L58" s="35"/>
      <c r="M58" s="35"/>
      <c r="N58" s="13"/>
    </row>
    <row r="59" spans="1:15" x14ac:dyDescent="0.25">
      <c r="A59" s="166"/>
      <c r="B59" s="154" t="s">
        <v>53</v>
      </c>
      <c r="C59" s="125" t="s">
        <v>3</v>
      </c>
      <c r="D59" s="13">
        <v>100</v>
      </c>
      <c r="E59" s="13">
        <v>100</v>
      </c>
      <c r="F59" s="13">
        <v>100</v>
      </c>
      <c r="G59" s="35">
        <v>100</v>
      </c>
      <c r="H59" s="35">
        <v>100</v>
      </c>
      <c r="I59" s="35">
        <v>100</v>
      </c>
      <c r="J59" s="35">
        <v>100</v>
      </c>
      <c r="K59" s="35">
        <v>100</v>
      </c>
      <c r="L59" s="35">
        <v>100</v>
      </c>
      <c r="M59" s="35">
        <v>100</v>
      </c>
      <c r="N59" s="13">
        <f>M59/L59*100</f>
        <v>100</v>
      </c>
    </row>
    <row r="60" spans="1:15" x14ac:dyDescent="0.25">
      <c r="A60" s="166"/>
      <c r="B60" s="154" t="s">
        <v>54</v>
      </c>
      <c r="C60" s="125" t="s">
        <v>3</v>
      </c>
      <c r="D60" s="13">
        <v>98</v>
      </c>
      <c r="E60" s="13">
        <v>98</v>
      </c>
      <c r="F60" s="13">
        <v>98</v>
      </c>
      <c r="G60" s="35">
        <v>98</v>
      </c>
      <c r="H60" s="35">
        <v>99</v>
      </c>
      <c r="I60" s="35">
        <v>100</v>
      </c>
      <c r="J60" s="35">
        <v>100</v>
      </c>
      <c r="K60" s="35">
        <v>100</v>
      </c>
      <c r="L60" s="35">
        <v>100</v>
      </c>
      <c r="M60" s="35">
        <v>87.5</v>
      </c>
      <c r="N60" s="13">
        <f>M60/L60*100</f>
        <v>87.5</v>
      </c>
    </row>
    <row r="61" spans="1:15" x14ac:dyDescent="0.25">
      <c r="A61" s="125"/>
      <c r="B61" s="154" t="s">
        <v>55</v>
      </c>
      <c r="C61" s="125" t="s">
        <v>3</v>
      </c>
      <c r="D61" s="32">
        <v>100</v>
      </c>
      <c r="E61" s="32">
        <v>100</v>
      </c>
      <c r="F61" s="32">
        <v>100</v>
      </c>
      <c r="G61" s="35">
        <v>100</v>
      </c>
      <c r="H61" s="35">
        <v>100</v>
      </c>
      <c r="I61" s="35">
        <v>100</v>
      </c>
      <c r="J61" s="35">
        <v>100</v>
      </c>
      <c r="K61" s="35">
        <v>100</v>
      </c>
      <c r="L61" s="35">
        <v>100</v>
      </c>
      <c r="M61" s="35">
        <v>100</v>
      </c>
      <c r="N61" s="13">
        <f>M61/L61*100</f>
        <v>100</v>
      </c>
    </row>
    <row r="62" spans="1:15" x14ac:dyDescent="0.25">
      <c r="A62" s="125"/>
      <c r="B62" s="154" t="s">
        <v>56</v>
      </c>
      <c r="C62" s="125" t="s">
        <v>3</v>
      </c>
      <c r="D62" s="13">
        <v>75</v>
      </c>
      <c r="E62" s="13">
        <v>75</v>
      </c>
      <c r="F62" s="13">
        <v>75</v>
      </c>
      <c r="G62" s="35">
        <v>100</v>
      </c>
      <c r="H62" s="35">
        <v>100</v>
      </c>
      <c r="I62" s="35">
        <v>100</v>
      </c>
      <c r="J62" s="35">
        <v>100</v>
      </c>
      <c r="K62" s="35">
        <v>100</v>
      </c>
      <c r="L62" s="35">
        <v>100</v>
      </c>
      <c r="M62" s="35">
        <v>100</v>
      </c>
      <c r="N62" s="13">
        <f>M62/L62*100</f>
        <v>100</v>
      </c>
    </row>
    <row r="63" spans="1:15" s="19" customFormat="1" x14ac:dyDescent="0.25">
      <c r="A63" s="287" t="s">
        <v>592</v>
      </c>
      <c r="B63" s="287"/>
      <c r="C63" s="287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104"/>
    </row>
    <row r="64" spans="1:15" s="19" customFormat="1" x14ac:dyDescent="0.25">
      <c r="A64" s="287" t="s">
        <v>74</v>
      </c>
      <c r="B64" s="287"/>
      <c r="C64" s="287"/>
      <c r="D64" s="287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104"/>
    </row>
    <row r="65" spans="1:15" s="19" customFormat="1" x14ac:dyDescent="0.25">
      <c r="A65" s="287" t="s">
        <v>75</v>
      </c>
      <c r="B65" s="287"/>
      <c r="C65" s="287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104"/>
    </row>
    <row r="66" spans="1:15" ht="33.75" customHeight="1" x14ac:dyDescent="0.25">
      <c r="A66" s="123">
        <f>A58+1</f>
        <v>29</v>
      </c>
      <c r="B66" s="153" t="s">
        <v>82</v>
      </c>
      <c r="C66" s="125" t="s">
        <v>49</v>
      </c>
      <c r="D66" s="14"/>
      <c r="E66" s="14">
        <v>10</v>
      </c>
      <c r="F66" s="14">
        <v>14</v>
      </c>
      <c r="G66" s="14">
        <v>103</v>
      </c>
      <c r="H66" s="14">
        <v>39</v>
      </c>
      <c r="I66" s="14">
        <v>33</v>
      </c>
      <c r="J66" s="14">
        <v>61</v>
      </c>
      <c r="K66" s="14">
        <v>40</v>
      </c>
      <c r="L66" s="14">
        <v>29</v>
      </c>
      <c r="M66" s="14">
        <v>41</v>
      </c>
      <c r="N66" s="13">
        <f>M66/L66*100</f>
        <v>141.37931034482759</v>
      </c>
    </row>
    <row r="67" spans="1:15" s="146" customFormat="1" ht="18" customHeight="1" x14ac:dyDescent="0.25">
      <c r="A67" s="167">
        <v>30</v>
      </c>
      <c r="B67" s="153" t="s">
        <v>608</v>
      </c>
      <c r="C67" s="174"/>
      <c r="D67" s="11"/>
      <c r="E67" s="11"/>
      <c r="F67" s="11"/>
      <c r="G67" s="35"/>
      <c r="H67" s="35"/>
      <c r="I67" s="35"/>
      <c r="J67" s="35"/>
      <c r="K67" s="35"/>
      <c r="L67" s="35"/>
      <c r="M67" s="35"/>
      <c r="N67" s="13"/>
      <c r="O67" s="171"/>
    </row>
    <row r="68" spans="1:15" s="146" customFormat="1" x14ac:dyDescent="0.25">
      <c r="A68" s="167"/>
      <c r="B68" s="175" t="s">
        <v>593</v>
      </c>
      <c r="C68" s="168" t="s">
        <v>3</v>
      </c>
      <c r="D68" s="13">
        <v>97.7</v>
      </c>
      <c r="E68" s="13">
        <v>97.6</v>
      </c>
      <c r="F68" s="13">
        <v>97.6</v>
      </c>
      <c r="G68" s="35">
        <v>97.49839640795382</v>
      </c>
      <c r="H68" s="35">
        <v>97.467732022126611</v>
      </c>
      <c r="I68" s="35">
        <v>97.5</v>
      </c>
      <c r="J68" s="35">
        <v>96.8</v>
      </c>
      <c r="K68" s="35">
        <v>96.8</v>
      </c>
      <c r="L68" s="35">
        <v>96.452897492859407</v>
      </c>
      <c r="M68" s="35">
        <v>96.758560318688708</v>
      </c>
      <c r="N68" s="13">
        <f t="shared" ref="N68:N73" si="3">M68/L68*100</f>
        <v>100.31690372583357</v>
      </c>
      <c r="O68" s="171"/>
    </row>
    <row r="69" spans="1:15" s="146" customFormat="1" x14ac:dyDescent="0.25">
      <c r="A69" s="167"/>
      <c r="B69" s="175" t="s">
        <v>594</v>
      </c>
      <c r="C69" s="168" t="s">
        <v>3</v>
      </c>
      <c r="D69" s="13">
        <v>97.5</v>
      </c>
      <c r="E69" s="13">
        <v>97.5</v>
      </c>
      <c r="F69" s="13">
        <v>97.5</v>
      </c>
      <c r="G69" s="35">
        <v>90.519693406159078</v>
      </c>
      <c r="H69" s="35">
        <v>97.489729240125499</v>
      </c>
      <c r="I69" s="35">
        <v>97.5</v>
      </c>
      <c r="J69" s="35">
        <v>97</v>
      </c>
      <c r="K69" s="35">
        <v>96.8</v>
      </c>
      <c r="L69" s="35">
        <v>96.405585528403677</v>
      </c>
      <c r="M69" s="35">
        <v>97.000875379013735</v>
      </c>
      <c r="N69" s="13">
        <f t="shared" si="3"/>
        <v>100.61748481412903</v>
      </c>
      <c r="O69" s="171"/>
    </row>
    <row r="70" spans="1:15" s="146" customFormat="1" x14ac:dyDescent="0.25">
      <c r="A70" s="167"/>
      <c r="B70" s="175" t="s">
        <v>595</v>
      </c>
      <c r="C70" s="168" t="s">
        <v>3</v>
      </c>
      <c r="D70" s="13">
        <v>91.3</v>
      </c>
      <c r="E70" s="13">
        <v>91.1</v>
      </c>
      <c r="F70" s="13">
        <v>90.9</v>
      </c>
      <c r="G70" s="35">
        <v>90.785338957244022</v>
      </c>
      <c r="H70" s="35">
        <v>90.737230291463135</v>
      </c>
      <c r="I70" s="35">
        <v>90.7</v>
      </c>
      <c r="J70" s="35">
        <v>91.6</v>
      </c>
      <c r="K70" s="35">
        <v>91.3</v>
      </c>
      <c r="L70" s="35">
        <v>91.101847032688028</v>
      </c>
      <c r="M70" s="35">
        <v>92.45334483589815</v>
      </c>
      <c r="N70" s="13">
        <f t="shared" si="3"/>
        <v>101.48350208830036</v>
      </c>
      <c r="O70" s="171"/>
    </row>
    <row r="71" spans="1:15" s="146" customFormat="1" x14ac:dyDescent="0.25">
      <c r="A71" s="167"/>
      <c r="B71" s="175" t="s">
        <v>596</v>
      </c>
      <c r="C71" s="168" t="s">
        <v>3</v>
      </c>
      <c r="D71" s="13">
        <v>97.1</v>
      </c>
      <c r="E71" s="13">
        <v>97.1</v>
      </c>
      <c r="F71" s="13">
        <v>97.1</v>
      </c>
      <c r="G71" s="35">
        <v>90.707589039853303</v>
      </c>
      <c r="H71" s="35">
        <v>97.037492317148107</v>
      </c>
      <c r="I71" s="35">
        <v>97</v>
      </c>
      <c r="J71" s="35">
        <v>96.5</v>
      </c>
      <c r="K71" s="35">
        <v>96.4</v>
      </c>
      <c r="L71" s="35">
        <v>95.966562995874312</v>
      </c>
      <c r="M71" s="35">
        <v>96.525760247643461</v>
      </c>
      <c r="N71" s="13">
        <f t="shared" si="3"/>
        <v>100.5827000929409</v>
      </c>
      <c r="O71" s="171"/>
    </row>
    <row r="72" spans="1:15" s="146" customFormat="1" x14ac:dyDescent="0.25">
      <c r="A72" s="167"/>
      <c r="B72" s="175" t="s">
        <v>597</v>
      </c>
      <c r="C72" s="168" t="s">
        <v>3</v>
      </c>
      <c r="D72" s="13">
        <v>21.6</v>
      </c>
      <c r="E72" s="13">
        <v>21.5</v>
      </c>
      <c r="F72" s="13">
        <v>21.5</v>
      </c>
      <c r="G72" s="35">
        <v>21.420102241141372</v>
      </c>
      <c r="H72" s="35">
        <v>21.385177756930741</v>
      </c>
      <c r="I72" s="35">
        <v>21.4</v>
      </c>
      <c r="J72" s="35">
        <v>19.600000000000001</v>
      </c>
      <c r="K72" s="35">
        <v>19.5</v>
      </c>
      <c r="L72" s="35">
        <v>20.975385591875597</v>
      </c>
      <c r="M72" s="35">
        <v>19.363003184349743</v>
      </c>
      <c r="N72" s="13">
        <f t="shared" si="3"/>
        <v>92.312978464861317</v>
      </c>
      <c r="O72" s="171"/>
    </row>
    <row r="73" spans="1:15" s="146" customFormat="1" x14ac:dyDescent="0.25">
      <c r="A73" s="167">
        <v>31</v>
      </c>
      <c r="B73" s="108" t="s">
        <v>6</v>
      </c>
      <c r="C73" s="168" t="s">
        <v>17</v>
      </c>
      <c r="D73" s="34">
        <v>0.12</v>
      </c>
      <c r="E73" s="34">
        <v>0.09</v>
      </c>
      <c r="F73" s="34">
        <v>0.06</v>
      </c>
      <c r="G73" s="34">
        <v>7.0000000000000007E-2</v>
      </c>
      <c r="H73" s="34">
        <v>0.05</v>
      </c>
      <c r="I73" s="34">
        <v>0.10530201997202616</v>
      </c>
      <c r="J73" s="34">
        <v>0.11383022311617685</v>
      </c>
      <c r="K73" s="34">
        <v>0.16084894071400224</v>
      </c>
      <c r="L73" s="34">
        <v>0.12721837033267605</v>
      </c>
      <c r="M73" s="34">
        <v>7.421511462270422E-2</v>
      </c>
      <c r="N73" s="13">
        <f t="shared" si="3"/>
        <v>58.336790849176644</v>
      </c>
      <c r="O73" s="171"/>
    </row>
    <row r="74" spans="1:15" s="19" customFormat="1" x14ac:dyDescent="0.25">
      <c r="A74" s="287" t="s">
        <v>76</v>
      </c>
      <c r="B74" s="287"/>
      <c r="C74" s="287"/>
      <c r="D74" s="287"/>
      <c r="E74" s="287"/>
      <c r="F74" s="287"/>
      <c r="G74" s="287"/>
      <c r="H74" s="287"/>
      <c r="I74" s="287"/>
      <c r="J74" s="287"/>
      <c r="K74" s="287"/>
      <c r="L74" s="287"/>
      <c r="M74" s="287"/>
      <c r="N74" s="287"/>
      <c r="O74" s="104"/>
    </row>
    <row r="75" spans="1:15" ht="45" x14ac:dyDescent="0.25">
      <c r="A75" s="123">
        <v>32</v>
      </c>
      <c r="B75" s="7" t="s">
        <v>57</v>
      </c>
      <c r="C75" s="125" t="s">
        <v>3</v>
      </c>
      <c r="D75" s="13">
        <v>84.5</v>
      </c>
      <c r="E75" s="13">
        <v>86.4</v>
      </c>
      <c r="F75" s="13">
        <v>87.3</v>
      </c>
      <c r="G75" s="35">
        <v>84.28</v>
      </c>
      <c r="H75" s="35">
        <v>85</v>
      </c>
      <c r="I75" s="35">
        <v>85</v>
      </c>
      <c r="J75" s="35">
        <v>86</v>
      </c>
      <c r="K75" s="35">
        <v>85</v>
      </c>
      <c r="L75" s="35">
        <v>92.000039800797012</v>
      </c>
      <c r="M75" s="35">
        <v>84.59211645713205</v>
      </c>
      <c r="N75" s="13">
        <f>M75/L75*100</f>
        <v>91.947912892532486</v>
      </c>
    </row>
    <row r="76" spans="1:15" s="19" customFormat="1" x14ac:dyDescent="0.25">
      <c r="A76" s="287" t="s">
        <v>77</v>
      </c>
      <c r="B76" s="287"/>
      <c r="C76" s="287"/>
      <c r="D76" s="287"/>
      <c r="E76" s="287"/>
      <c r="F76" s="287"/>
      <c r="G76" s="287"/>
      <c r="H76" s="287"/>
      <c r="I76" s="287"/>
      <c r="J76" s="287"/>
      <c r="K76" s="287"/>
      <c r="L76" s="287"/>
      <c r="M76" s="287"/>
      <c r="N76" s="287"/>
      <c r="O76" s="104"/>
    </row>
    <row r="77" spans="1:15" ht="30" x14ac:dyDescent="0.25">
      <c r="A77" s="123">
        <v>33</v>
      </c>
      <c r="B77" s="155" t="s">
        <v>25</v>
      </c>
      <c r="C77" s="125" t="s">
        <v>49</v>
      </c>
      <c r="D77" s="14">
        <v>24</v>
      </c>
      <c r="E77" s="14">
        <v>52</v>
      </c>
      <c r="F77" s="14">
        <v>85</v>
      </c>
      <c r="G77" s="14">
        <v>92</v>
      </c>
      <c r="H77" s="14">
        <v>96</v>
      </c>
      <c r="I77" s="14">
        <v>99</v>
      </c>
      <c r="J77" s="14">
        <v>105</v>
      </c>
      <c r="K77" s="14">
        <v>129</v>
      </c>
      <c r="L77" s="14">
        <v>168</v>
      </c>
      <c r="M77" s="14">
        <v>163</v>
      </c>
      <c r="N77" s="5">
        <f>M77/L77*100</f>
        <v>97.023809523809518</v>
      </c>
    </row>
    <row r="78" spans="1:15" s="19" customFormat="1" ht="18" customHeight="1" x14ac:dyDescent="0.25">
      <c r="A78" s="287" t="s">
        <v>78</v>
      </c>
      <c r="B78" s="287"/>
      <c r="C78" s="287"/>
      <c r="D78" s="287"/>
      <c r="E78" s="287"/>
      <c r="F78" s="287"/>
      <c r="G78" s="287"/>
      <c r="H78" s="287"/>
      <c r="I78" s="287"/>
      <c r="J78" s="287"/>
      <c r="K78" s="287"/>
      <c r="L78" s="287"/>
      <c r="M78" s="287"/>
      <c r="N78" s="287"/>
      <c r="O78" s="104"/>
    </row>
    <row r="79" spans="1:15" ht="18" customHeight="1" x14ac:dyDescent="0.25">
      <c r="A79" s="287" t="s">
        <v>79</v>
      </c>
      <c r="B79" s="287"/>
      <c r="C79" s="287"/>
      <c r="D79" s="287"/>
      <c r="E79" s="287"/>
      <c r="F79" s="287"/>
      <c r="G79" s="287"/>
      <c r="H79" s="287"/>
      <c r="I79" s="287"/>
      <c r="J79" s="287"/>
      <c r="K79" s="287"/>
      <c r="L79" s="287"/>
      <c r="M79" s="287"/>
      <c r="N79" s="287"/>
    </row>
    <row r="80" spans="1:15" ht="33" customHeight="1" x14ac:dyDescent="0.25">
      <c r="A80" s="123">
        <v>34</v>
      </c>
      <c r="B80" s="156" t="s">
        <v>59</v>
      </c>
      <c r="C80" s="125" t="s">
        <v>3</v>
      </c>
      <c r="D80" s="5">
        <v>0</v>
      </c>
      <c r="E80" s="5">
        <v>0</v>
      </c>
      <c r="F80" s="5">
        <v>25</v>
      </c>
      <c r="G80" s="4">
        <v>75</v>
      </c>
      <c r="H80" s="4">
        <v>100</v>
      </c>
      <c r="I80" s="4">
        <v>100</v>
      </c>
      <c r="J80" s="4">
        <v>100</v>
      </c>
      <c r="K80" s="4">
        <v>100</v>
      </c>
      <c r="L80" s="4">
        <v>100</v>
      </c>
      <c r="M80" s="4">
        <v>100</v>
      </c>
      <c r="N80" s="13">
        <f>M80/L80*100</f>
        <v>100</v>
      </c>
    </row>
    <row r="81" spans="1:15" ht="33" customHeight="1" x14ac:dyDescent="0.25">
      <c r="A81" s="123">
        <f>A80+1</f>
        <v>35</v>
      </c>
      <c r="B81" s="156" t="s">
        <v>60</v>
      </c>
      <c r="C81" s="125" t="s">
        <v>3</v>
      </c>
      <c r="D81" s="125"/>
      <c r="E81" s="125"/>
      <c r="F81" s="125"/>
      <c r="G81" s="4"/>
      <c r="H81" s="4"/>
      <c r="I81" s="4"/>
      <c r="J81" s="4"/>
      <c r="K81" s="4"/>
      <c r="L81" s="4"/>
      <c r="M81" s="4"/>
      <c r="N81" s="13"/>
    </row>
    <row r="82" spans="1:15" x14ac:dyDescent="0.25">
      <c r="A82" s="7"/>
      <c r="B82" s="154" t="s">
        <v>53</v>
      </c>
      <c r="C82" s="125" t="s">
        <v>3</v>
      </c>
      <c r="D82" s="13">
        <v>100</v>
      </c>
      <c r="E82" s="13">
        <v>100</v>
      </c>
      <c r="F82" s="13">
        <v>100</v>
      </c>
      <c r="G82" s="35">
        <v>100</v>
      </c>
      <c r="H82" s="35">
        <v>100</v>
      </c>
      <c r="I82" s="35">
        <v>100</v>
      </c>
      <c r="J82" s="35">
        <v>100</v>
      </c>
      <c r="K82" s="35">
        <v>100</v>
      </c>
      <c r="L82" s="35">
        <v>100</v>
      </c>
      <c r="M82" s="35">
        <v>100</v>
      </c>
      <c r="N82" s="13">
        <f>M82/L82*100</f>
        <v>100</v>
      </c>
    </row>
    <row r="83" spans="1:15" x14ac:dyDescent="0.25">
      <c r="A83" s="7"/>
      <c r="B83" s="154" t="s">
        <v>399</v>
      </c>
      <c r="C83" s="125" t="s">
        <v>3</v>
      </c>
      <c r="D83" s="5">
        <v>0</v>
      </c>
      <c r="E83" s="5">
        <v>0</v>
      </c>
      <c r="F83" s="5">
        <v>0</v>
      </c>
      <c r="G83" s="35">
        <v>0</v>
      </c>
      <c r="H83" s="35">
        <v>100</v>
      </c>
      <c r="I83" s="35">
        <v>100</v>
      </c>
      <c r="J83" s="35">
        <v>100</v>
      </c>
      <c r="K83" s="35">
        <v>100</v>
      </c>
      <c r="L83" s="35">
        <v>75</v>
      </c>
      <c r="M83" s="35">
        <v>100</v>
      </c>
      <c r="N83" s="13">
        <f>M83/L83*100</f>
        <v>133.33333333333331</v>
      </c>
    </row>
    <row r="84" spans="1:15" x14ac:dyDescent="0.25">
      <c r="A84" s="7"/>
      <c r="B84" s="154" t="s">
        <v>400</v>
      </c>
      <c r="C84" s="125" t="s">
        <v>3</v>
      </c>
      <c r="D84" s="32">
        <v>100</v>
      </c>
      <c r="E84" s="32">
        <v>100</v>
      </c>
      <c r="F84" s="32">
        <v>100</v>
      </c>
      <c r="G84" s="35">
        <v>100</v>
      </c>
      <c r="H84" s="35">
        <v>100</v>
      </c>
      <c r="I84" s="35">
        <v>100</v>
      </c>
      <c r="J84" s="35">
        <v>100</v>
      </c>
      <c r="K84" s="35">
        <v>100</v>
      </c>
      <c r="L84" s="35">
        <v>100</v>
      </c>
      <c r="M84" s="35">
        <v>100</v>
      </c>
      <c r="N84" s="13">
        <f>M84/L84*100</f>
        <v>100</v>
      </c>
    </row>
    <row r="85" spans="1:15" x14ac:dyDescent="0.25">
      <c r="A85" s="7"/>
      <c r="B85" s="154" t="s">
        <v>401</v>
      </c>
      <c r="C85" s="125" t="s">
        <v>3</v>
      </c>
      <c r="D85" s="13">
        <v>75</v>
      </c>
      <c r="E85" s="13">
        <v>75</v>
      </c>
      <c r="F85" s="13">
        <v>87.5</v>
      </c>
      <c r="G85" s="35">
        <v>95</v>
      </c>
      <c r="H85" s="35">
        <v>100</v>
      </c>
      <c r="I85" s="35">
        <v>100</v>
      </c>
      <c r="J85" s="35">
        <v>100</v>
      </c>
      <c r="K85" s="35">
        <v>100</v>
      </c>
      <c r="L85" s="35">
        <v>100</v>
      </c>
      <c r="M85" s="35">
        <v>100</v>
      </c>
      <c r="N85" s="13">
        <f>M85/L85*100</f>
        <v>100</v>
      </c>
    </row>
    <row r="86" spans="1:15" ht="33.75" customHeight="1" x14ac:dyDescent="0.25">
      <c r="A86" s="123">
        <v>36</v>
      </c>
      <c r="B86" s="156" t="s">
        <v>58</v>
      </c>
      <c r="C86" s="125" t="s">
        <v>3</v>
      </c>
      <c r="D86" s="5">
        <v>100</v>
      </c>
      <c r="E86" s="5">
        <v>100</v>
      </c>
      <c r="F86" s="5">
        <v>100</v>
      </c>
      <c r="G86" s="35">
        <v>100</v>
      </c>
      <c r="H86" s="35">
        <v>100</v>
      </c>
      <c r="I86" s="35">
        <v>100</v>
      </c>
      <c r="J86" s="35">
        <v>100</v>
      </c>
      <c r="K86" s="35">
        <v>100</v>
      </c>
      <c r="L86" s="35">
        <v>100</v>
      </c>
      <c r="M86" s="35">
        <v>100</v>
      </c>
      <c r="N86" s="13">
        <f>M86/L86*100</f>
        <v>100</v>
      </c>
    </row>
    <row r="87" spans="1:15" ht="18" customHeight="1" x14ac:dyDescent="0.25">
      <c r="A87" s="287" t="s">
        <v>80</v>
      </c>
      <c r="B87" s="287"/>
      <c r="C87" s="287"/>
      <c r="D87" s="287"/>
      <c r="E87" s="287"/>
      <c r="F87" s="287"/>
      <c r="G87" s="287"/>
      <c r="H87" s="287"/>
      <c r="I87" s="287"/>
      <c r="J87" s="287"/>
      <c r="K87" s="287"/>
      <c r="L87" s="287"/>
      <c r="M87" s="287"/>
      <c r="N87" s="287"/>
    </row>
    <row r="88" spans="1:15" ht="30" x14ac:dyDescent="0.25">
      <c r="A88" s="123">
        <v>37</v>
      </c>
      <c r="B88" s="108" t="s">
        <v>61</v>
      </c>
      <c r="C88" s="125" t="s">
        <v>3</v>
      </c>
      <c r="D88" s="11">
        <v>82.1</v>
      </c>
      <c r="E88" s="11">
        <v>82.3</v>
      </c>
      <c r="F88" s="11">
        <v>80.7</v>
      </c>
      <c r="G88" s="4">
        <v>79.2</v>
      </c>
      <c r="H88" s="4">
        <v>79.900000000000006</v>
      </c>
      <c r="I88" s="4">
        <v>78.5</v>
      </c>
      <c r="J88" s="4">
        <v>82.01</v>
      </c>
      <c r="K88" s="4">
        <v>85.01</v>
      </c>
      <c r="L88" s="4">
        <v>82.7</v>
      </c>
      <c r="M88" s="4">
        <v>85.56</v>
      </c>
      <c r="N88" s="13">
        <f>M88/L88*100</f>
        <v>103.45828295042321</v>
      </c>
    </row>
    <row r="89" spans="1:15" ht="45" x14ac:dyDescent="0.25">
      <c r="A89" s="123">
        <v>38</v>
      </c>
      <c r="B89" s="108" t="s">
        <v>603</v>
      </c>
      <c r="C89" s="125" t="s">
        <v>3</v>
      </c>
      <c r="D89" s="125">
        <v>1.1000000000000001</v>
      </c>
      <c r="E89" s="125">
        <v>1.8</v>
      </c>
      <c r="F89" s="125">
        <v>3.9</v>
      </c>
      <c r="G89" s="4">
        <v>14.5</v>
      </c>
      <c r="H89" s="4">
        <v>20.9</v>
      </c>
      <c r="I89" s="4">
        <v>23.4</v>
      </c>
      <c r="J89" s="4">
        <v>19.059999999999999</v>
      </c>
      <c r="K89" s="4">
        <v>20.78</v>
      </c>
      <c r="L89" s="4">
        <v>25</v>
      </c>
      <c r="M89" s="4" t="s">
        <v>96</v>
      </c>
      <c r="N89" s="13"/>
    </row>
    <row r="90" spans="1:15" s="19" customFormat="1" ht="37.5" customHeight="1" x14ac:dyDescent="0.25">
      <c r="A90" s="295" t="s">
        <v>81</v>
      </c>
      <c r="B90" s="295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104"/>
    </row>
    <row r="91" spans="1:15" s="19" customFormat="1" ht="49.5" customHeight="1" x14ac:dyDescent="0.25">
      <c r="A91" s="12">
        <v>39</v>
      </c>
      <c r="B91" s="108" t="s">
        <v>62</v>
      </c>
      <c r="C91" s="124" t="s">
        <v>3</v>
      </c>
      <c r="D91" s="124">
        <v>6.8</v>
      </c>
      <c r="E91" s="124">
        <v>6.8</v>
      </c>
      <c r="F91" s="124">
        <v>5.6</v>
      </c>
      <c r="G91" s="24">
        <v>5.5</v>
      </c>
      <c r="H91" s="24">
        <v>6.3328491011439985</v>
      </c>
      <c r="I91" s="4">
        <v>6.3</v>
      </c>
      <c r="J91" s="4">
        <v>6.7</v>
      </c>
      <c r="K91" s="4">
        <v>5.2</v>
      </c>
      <c r="L91" s="4">
        <v>6.8</v>
      </c>
      <c r="M91" s="4">
        <v>4.5</v>
      </c>
      <c r="N91" s="13">
        <f>M91/L91*100</f>
        <v>66.17647058823529</v>
      </c>
      <c r="O91" s="104"/>
    </row>
    <row r="92" spans="1:15" s="19" customFormat="1" ht="48.75" customHeight="1" x14ac:dyDescent="0.25">
      <c r="A92" s="12">
        <v>40</v>
      </c>
      <c r="B92" s="108" t="s">
        <v>98</v>
      </c>
      <c r="C92" s="124" t="s">
        <v>3</v>
      </c>
      <c r="D92" s="27">
        <v>100</v>
      </c>
      <c r="E92" s="27">
        <v>100</v>
      </c>
      <c r="F92" s="27">
        <v>100</v>
      </c>
      <c r="G92" s="24">
        <v>100</v>
      </c>
      <c r="H92" s="24">
        <v>100</v>
      </c>
      <c r="I92" s="4">
        <v>100</v>
      </c>
      <c r="J92" s="4">
        <v>100</v>
      </c>
      <c r="K92" s="4">
        <v>100</v>
      </c>
      <c r="L92" s="4">
        <v>100</v>
      </c>
      <c r="M92" s="4">
        <v>100</v>
      </c>
      <c r="N92" s="13">
        <f>M92/L92*100</f>
        <v>100</v>
      </c>
      <c r="O92" s="104"/>
    </row>
    <row r="93" spans="1:15" ht="48" customHeight="1" x14ac:dyDescent="0.25">
      <c r="A93" s="12">
        <v>41</v>
      </c>
      <c r="B93" s="108" t="s">
        <v>35</v>
      </c>
      <c r="C93" s="124" t="s">
        <v>3</v>
      </c>
      <c r="D93" s="31">
        <v>90</v>
      </c>
      <c r="E93" s="31">
        <v>90</v>
      </c>
      <c r="F93" s="31">
        <v>100</v>
      </c>
      <c r="G93" s="24">
        <v>100</v>
      </c>
      <c r="H93" s="24">
        <v>100</v>
      </c>
      <c r="I93" s="4">
        <v>100</v>
      </c>
      <c r="J93" s="4">
        <v>100</v>
      </c>
      <c r="K93" s="4">
        <v>100</v>
      </c>
      <c r="L93" s="4">
        <v>95</v>
      </c>
      <c r="M93" s="4">
        <v>100</v>
      </c>
      <c r="N93" s="13">
        <f>M93/L93*100</f>
        <v>105.26315789473684</v>
      </c>
    </row>
    <row r="94" spans="1:15" ht="18" customHeight="1" x14ac:dyDescent="0.25">
      <c r="A94" s="288" t="s">
        <v>86</v>
      </c>
      <c r="B94" s="288"/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</row>
    <row r="95" spans="1:15" ht="35.25" customHeight="1" x14ac:dyDescent="0.25">
      <c r="A95" s="12">
        <f>A93+1</f>
        <v>42</v>
      </c>
      <c r="B95" s="151" t="s">
        <v>604</v>
      </c>
      <c r="C95" s="124" t="s">
        <v>3</v>
      </c>
      <c r="D95" s="5">
        <v>0</v>
      </c>
      <c r="E95" s="5">
        <v>0</v>
      </c>
      <c r="F95" s="5">
        <v>15.6</v>
      </c>
      <c r="G95" s="4">
        <v>30.7</v>
      </c>
      <c r="H95" s="4">
        <v>55.1</v>
      </c>
      <c r="I95" s="4">
        <v>67</v>
      </c>
      <c r="J95" s="4">
        <v>91.6</v>
      </c>
      <c r="K95" s="4">
        <v>91.6</v>
      </c>
      <c r="L95" s="4">
        <v>90</v>
      </c>
      <c r="M95" s="4">
        <v>91.6</v>
      </c>
      <c r="N95" s="13">
        <f>M95/L95*100</f>
        <v>101.77777777777777</v>
      </c>
    </row>
    <row r="96" spans="1:15" ht="34.5" customHeight="1" x14ac:dyDescent="0.25">
      <c r="A96" s="12">
        <f>A95+1</f>
        <v>43</v>
      </c>
      <c r="B96" s="151" t="s">
        <v>605</v>
      </c>
      <c r="C96" s="124" t="s">
        <v>3</v>
      </c>
      <c r="D96" s="27">
        <v>0</v>
      </c>
      <c r="E96" s="27">
        <v>23</v>
      </c>
      <c r="F96" s="27">
        <v>28.6</v>
      </c>
      <c r="G96" s="24">
        <v>38.9</v>
      </c>
      <c r="H96" s="24">
        <v>51.6</v>
      </c>
      <c r="I96" s="4">
        <v>75</v>
      </c>
      <c r="J96" s="4">
        <v>75</v>
      </c>
      <c r="K96" s="4">
        <v>52</v>
      </c>
      <c r="L96" s="4">
        <v>78</v>
      </c>
      <c r="M96" s="4">
        <v>75</v>
      </c>
      <c r="N96" s="13">
        <f>M96/L96*100</f>
        <v>96.15384615384616</v>
      </c>
    </row>
    <row r="97" spans="1:20" ht="18" customHeight="1" x14ac:dyDescent="0.25">
      <c r="A97" s="12">
        <f>A96+1</f>
        <v>44</v>
      </c>
      <c r="B97" s="151" t="s">
        <v>63</v>
      </c>
      <c r="C97" s="124" t="s">
        <v>3</v>
      </c>
      <c r="D97" s="27">
        <v>0.1</v>
      </c>
      <c r="E97" s="27">
        <v>1.7</v>
      </c>
      <c r="F97" s="27">
        <v>2.2999999999999998</v>
      </c>
      <c r="G97" s="24">
        <v>4.5999999999999996</v>
      </c>
      <c r="H97" s="24">
        <v>10.7</v>
      </c>
      <c r="I97" s="4">
        <v>16.899999999999999</v>
      </c>
      <c r="J97" s="4">
        <v>19.600000000000001</v>
      </c>
      <c r="K97" s="4">
        <v>75.7</v>
      </c>
      <c r="L97" s="4">
        <v>72</v>
      </c>
      <c r="M97" s="4">
        <v>80.85250406651916</v>
      </c>
      <c r="N97" s="13">
        <f>M97/L97*100</f>
        <v>112.29514453683215</v>
      </c>
    </row>
    <row r="98" spans="1:20" x14ac:dyDescent="0.25">
      <c r="A98" s="19" t="s">
        <v>614</v>
      </c>
    </row>
    <row r="99" spans="1:20" x14ac:dyDescent="0.25">
      <c r="A99" s="19"/>
    </row>
    <row r="100" spans="1:20" x14ac:dyDescent="0.25">
      <c r="B100" s="67"/>
    </row>
    <row r="101" spans="1:20" ht="15.75" x14ac:dyDescent="0.25">
      <c r="A101" s="96" t="s">
        <v>391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</row>
    <row r="102" spans="1:20" ht="15.75" x14ac:dyDescent="0.25">
      <c r="A102" s="96" t="s">
        <v>392</v>
      </c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</row>
    <row r="103" spans="1:20" ht="15.75" x14ac:dyDescent="0.25">
      <c r="A103" s="96" t="s">
        <v>478</v>
      </c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271" t="s">
        <v>395</v>
      </c>
      <c r="N103" s="271"/>
      <c r="O103" s="96"/>
      <c r="P103" s="96"/>
      <c r="Q103" s="96"/>
      <c r="R103" s="96"/>
      <c r="S103" s="96"/>
      <c r="T103" s="96"/>
    </row>
    <row r="104" spans="1:20" ht="15.75" x14ac:dyDescent="0.25">
      <c r="A104" s="96" t="s">
        <v>394</v>
      </c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</row>
    <row r="105" spans="1:20" ht="15.75" x14ac:dyDescent="0.25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</row>
    <row r="106" spans="1:20" ht="15.75" x14ac:dyDescent="0.25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</row>
    <row r="107" spans="1:20" ht="15.75" x14ac:dyDescent="0.25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</row>
    <row r="108" spans="1:20" ht="15.75" x14ac:dyDescent="0.25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</row>
    <row r="109" spans="1:20" ht="15.75" x14ac:dyDescent="0.25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</row>
    <row r="110" spans="1:20" ht="15.75" x14ac:dyDescent="0.25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</row>
    <row r="111" spans="1:20" ht="15.75" x14ac:dyDescent="0.25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</row>
    <row r="112" spans="1:20" ht="15.75" x14ac:dyDescent="0.25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</row>
    <row r="113" spans="1:20" ht="15.75" x14ac:dyDescent="0.25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</row>
    <row r="114" spans="1:20" ht="15.75" x14ac:dyDescent="0.25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</row>
    <row r="115" spans="1:20" ht="15.75" x14ac:dyDescent="0.25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</row>
    <row r="116" spans="1:20" ht="15.75" x14ac:dyDescent="0.25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</row>
    <row r="117" spans="1:20" ht="15.75" x14ac:dyDescent="0.25">
      <c r="A117" s="97" t="s">
        <v>590</v>
      </c>
      <c r="B117" s="98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</row>
    <row r="118" spans="1:20" ht="15.75" x14ac:dyDescent="0.25">
      <c r="A118" s="273">
        <v>45791</v>
      </c>
      <c r="B118" s="273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</row>
    <row r="119" spans="1:20" ht="15.75" x14ac:dyDescent="0.25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</row>
    <row r="120" spans="1:20" ht="15.75" x14ac:dyDescent="0.25"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</row>
    <row r="121" spans="1:20" ht="15.75" x14ac:dyDescent="0.25"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</row>
    <row r="122" spans="1:20" ht="15.75" x14ac:dyDescent="0.25"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</row>
    <row r="123" spans="1:20" ht="15.75" x14ac:dyDescent="0.25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</row>
    <row r="124" spans="1:20" ht="15.75" x14ac:dyDescent="0.25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</row>
    <row r="125" spans="1:20" ht="18.75" customHeight="1" x14ac:dyDescent="0.25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</row>
    <row r="126" spans="1:20" ht="15.75" x14ac:dyDescent="0.25">
      <c r="A126" s="97"/>
      <c r="B126" s="98"/>
      <c r="C126" s="98"/>
      <c r="D126" s="98"/>
      <c r="E126" s="98"/>
      <c r="F126" s="98"/>
      <c r="G126" s="98"/>
      <c r="H126" s="98"/>
      <c r="I126" s="98"/>
      <c r="J126" s="157"/>
      <c r="K126" s="98"/>
      <c r="L126" s="98"/>
      <c r="M126" s="98"/>
      <c r="N126" s="98"/>
      <c r="O126" s="98"/>
      <c r="P126" s="98"/>
      <c r="Q126" s="98"/>
      <c r="R126" s="98"/>
      <c r="S126" s="98"/>
      <c r="T126" s="98"/>
    </row>
    <row r="127" spans="1:20" x14ac:dyDescent="0.25">
      <c r="A127" s="294"/>
      <c r="B127" s="294"/>
      <c r="C127" s="90"/>
      <c r="D127" s="92"/>
      <c r="E127" s="92"/>
      <c r="F127" s="92"/>
      <c r="G127" s="92"/>
      <c r="H127" s="92"/>
      <c r="I127" s="92"/>
      <c r="J127" s="144"/>
      <c r="K127" s="92"/>
      <c r="L127" s="92"/>
      <c r="M127" s="92"/>
      <c r="N127" s="92"/>
      <c r="O127" s="90"/>
      <c r="P127" s="91"/>
      <c r="Q127" s="90"/>
      <c r="R127" s="90"/>
      <c r="S127" s="90"/>
      <c r="T127" s="90"/>
    </row>
    <row r="128" spans="1:20" x14ac:dyDescent="0.25">
      <c r="B128" s="105"/>
      <c r="C128" s="68"/>
      <c r="D128" s="68"/>
      <c r="J128" s="146"/>
    </row>
    <row r="129" spans="2:10" x14ac:dyDescent="0.25">
      <c r="B129" s="68"/>
      <c r="C129" s="68"/>
      <c r="D129" s="68"/>
      <c r="J129" s="146"/>
    </row>
    <row r="130" spans="2:10" x14ac:dyDescent="0.25">
      <c r="J130" s="146"/>
    </row>
    <row r="131" spans="2:10" x14ac:dyDescent="0.25">
      <c r="J131" s="146"/>
    </row>
    <row r="132" spans="2:10" x14ac:dyDescent="0.25">
      <c r="J132" s="146"/>
    </row>
    <row r="133" spans="2:10" x14ac:dyDescent="0.25">
      <c r="J133" s="146"/>
    </row>
    <row r="134" spans="2:10" x14ac:dyDescent="0.25">
      <c r="J134" s="146"/>
    </row>
    <row r="135" spans="2:10" x14ac:dyDescent="0.25">
      <c r="J135" s="146"/>
    </row>
    <row r="136" spans="2:10" x14ac:dyDescent="0.25">
      <c r="J136" s="146"/>
    </row>
    <row r="137" spans="2:10" x14ac:dyDescent="0.25">
      <c r="J137" s="146"/>
    </row>
    <row r="138" spans="2:10" x14ac:dyDescent="0.25">
      <c r="J138" s="146"/>
    </row>
    <row r="139" spans="2:10" x14ac:dyDescent="0.25">
      <c r="J139" s="146"/>
    </row>
    <row r="140" spans="2:10" x14ac:dyDescent="0.25">
      <c r="J140" s="146"/>
    </row>
    <row r="141" spans="2:10" x14ac:dyDescent="0.25">
      <c r="J141" s="146"/>
    </row>
    <row r="142" spans="2:10" x14ac:dyDescent="0.25">
      <c r="J142" s="146"/>
    </row>
    <row r="143" spans="2:10" x14ac:dyDescent="0.25">
      <c r="J143" s="146"/>
    </row>
    <row r="144" spans="2:10" x14ac:dyDescent="0.25">
      <c r="J144" s="146"/>
    </row>
    <row r="145" spans="1:10" x14ac:dyDescent="0.25">
      <c r="J145" s="146"/>
    </row>
    <row r="146" spans="1:10" x14ac:dyDescent="0.25">
      <c r="J146" s="146"/>
    </row>
    <row r="147" spans="1:10" x14ac:dyDescent="0.25">
      <c r="J147" s="146"/>
    </row>
    <row r="148" spans="1:10" x14ac:dyDescent="0.25">
      <c r="J148" s="146"/>
    </row>
    <row r="149" spans="1:10" x14ac:dyDescent="0.25">
      <c r="A149" s="106"/>
      <c r="J149" s="146"/>
    </row>
    <row r="150" spans="1:10" x14ac:dyDescent="0.25">
      <c r="A150" s="106"/>
      <c r="J150" s="146"/>
    </row>
    <row r="151" spans="1:10" x14ac:dyDescent="0.25">
      <c r="A151" s="106"/>
      <c r="J151" s="146"/>
    </row>
    <row r="152" spans="1:10" x14ac:dyDescent="0.25">
      <c r="J152" s="146"/>
    </row>
    <row r="153" spans="1:10" x14ac:dyDescent="0.25">
      <c r="A153" s="107"/>
      <c r="J153" s="146"/>
    </row>
    <row r="154" spans="1:10" x14ac:dyDescent="0.25">
      <c r="A154" s="107"/>
      <c r="J154" s="146"/>
    </row>
    <row r="155" spans="1:10" x14ac:dyDescent="0.25">
      <c r="A155" s="107"/>
      <c r="J155" s="146"/>
    </row>
    <row r="156" spans="1:10" x14ac:dyDescent="0.25">
      <c r="J156" s="146"/>
    </row>
    <row r="157" spans="1:10" x14ac:dyDescent="0.25">
      <c r="J157" s="146"/>
    </row>
    <row r="158" spans="1:10" x14ac:dyDescent="0.25">
      <c r="J158" s="146"/>
    </row>
  </sheetData>
  <mergeCells count="40">
    <mergeCell ref="A118:B118"/>
    <mergeCell ref="A127:B127"/>
    <mergeCell ref="A74:N74"/>
    <mergeCell ref="A76:N76"/>
    <mergeCell ref="A78:N78"/>
    <mergeCell ref="A79:N79"/>
    <mergeCell ref="A87:N87"/>
    <mergeCell ref="A90:N90"/>
    <mergeCell ref="A94:N94"/>
    <mergeCell ref="M103:N103"/>
    <mergeCell ref="K5:K7"/>
    <mergeCell ref="L5:N6"/>
    <mergeCell ref="A2:N2"/>
    <mergeCell ref="A8:N8"/>
    <mergeCell ref="A18:N18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A19:N19"/>
    <mergeCell ref="A20:N20"/>
    <mergeCell ref="A21:N21"/>
    <mergeCell ref="A24:N24"/>
    <mergeCell ref="A28:N28"/>
    <mergeCell ref="A32:N32"/>
    <mergeCell ref="A33:N33"/>
    <mergeCell ref="A39:N39"/>
    <mergeCell ref="A40:N40"/>
    <mergeCell ref="A44:N44"/>
    <mergeCell ref="A48:N48"/>
    <mergeCell ref="A55:N55"/>
    <mergeCell ref="A63:N63"/>
    <mergeCell ref="A64:N64"/>
    <mergeCell ref="A65:N65"/>
  </mergeCells>
  <printOptions horizontalCentered="1"/>
  <pageMargins left="0.39370078740157483" right="0.39370078740157483" top="0.78740157480314965" bottom="0.35433070866141736" header="0" footer="0.31496062992125984"/>
  <pageSetup paperSize="9" scale="54" firstPageNumber="129" fitToHeight="0" orientation="landscape" useFirstPageNumber="1" horizontalDpi="1200" verticalDpi="1200" r:id="rId1"/>
  <headerFooter>
    <oddFooter>&amp;R&amp;"Times New Roman,обычный"&amp;P</oddFooter>
  </headerFooter>
  <rowBreaks count="3" manualBreakCount="3">
    <brk id="37" max="13" man="1"/>
    <brk id="75" max="13" man="1"/>
    <brk id="11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Финансирование</vt:lpstr>
      <vt:lpstr>Целевые ориентиры</vt:lpstr>
      <vt:lpstr>Динамика показателей</vt:lpstr>
      <vt:lpstr>'Динамика показателей'!Заголовки_для_печати</vt:lpstr>
      <vt:lpstr>Финансирование!Заголовки_для_печати</vt:lpstr>
      <vt:lpstr>'Целевые ориентиры'!Заголовки_для_печати</vt:lpstr>
      <vt:lpstr>'Динамика показателей'!Область_печати</vt:lpstr>
      <vt:lpstr>Финансирование!Область_печати</vt:lpstr>
      <vt:lpstr>'Целевые ориентиры'!Область_печати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Н.Н</dc:creator>
  <cp:lastModifiedBy>Татаринова Дарья Андреевна</cp:lastModifiedBy>
  <cp:lastPrinted>2025-05-20T09:48:48Z</cp:lastPrinted>
  <dcterms:created xsi:type="dcterms:W3CDTF">2016-11-07T09:23:54Z</dcterms:created>
  <dcterms:modified xsi:type="dcterms:W3CDTF">2025-05-20T09:50:18Z</dcterms:modified>
</cp:coreProperties>
</file>