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5450" windowHeight="11340" activeTab="0"/>
  </bookViews>
  <sheets>
    <sheet name="Приложение 6 (2007-2015 факт)" sheetId="1" r:id="rId1"/>
  </sheets>
  <definedNames>
    <definedName name="_xlnm.Print_Titles" localSheetId="0">'Приложение 6 (2007-2015 факт)'!$6:$7</definedName>
    <definedName name="_xlnm.Print_Area" localSheetId="0">'Приложение 6 (2007-2015 факт)'!$B$1:$R$211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L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Отдел по труду- 68370 до 2020 года
(без прироста)</t>
        </r>
        <r>
          <rPr>
            <sz val="8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Отдел по труду- 68370 до 2020 года
(без прироста)</t>
        </r>
        <r>
          <rPr>
            <sz val="8"/>
            <rFont val="Tahoma"/>
            <family val="2"/>
          </rPr>
          <t xml:space="preserve">
</t>
        </r>
      </text>
    </comment>
    <comment ref="H65" authorId="0">
      <text>
        <r>
          <rPr>
            <b/>
            <sz val="12"/>
            <rFont val="Tahoma"/>
            <family val="2"/>
          </rPr>
          <t xml:space="preserve">Пояснения:
переданы в муниципальную собственность объекты социально-культурной сферы ОАО "ПО ЭХЗ"
</t>
        </r>
        <r>
          <rPr>
            <b/>
            <sz val="8"/>
            <rFont val="Tahoma"/>
            <family val="2"/>
          </rPr>
          <t xml:space="preserve">
</t>
        </r>
      </text>
    </comment>
    <comment ref="H6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округлено до человека</t>
        </r>
      </text>
    </comment>
    <comment ref="E1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отчёте по КПСЭР - 92,8</t>
        </r>
      </text>
    </comment>
    <comment ref="F1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В отчёте по КПСЭР - 91,4</t>
        </r>
        <r>
          <rPr>
            <sz val="8"/>
            <rFont val="Tahoma"/>
            <family val="2"/>
          </rPr>
          <t xml:space="preserve">
</t>
        </r>
      </text>
    </comment>
    <comment ref="G115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В отчёте по КПСЭР - 89,4</t>
        </r>
      </text>
    </comment>
    <comment ref="E1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в отчёте по КПСЭР - 758077
</t>
        </r>
      </text>
    </comment>
    <comment ref="E13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КБ-3,384
</t>
        </r>
      </text>
    </comment>
    <comment ref="G1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КБУ (убыткм),МУП ТС, ГЖКУ,МУП ЭС</t>
        </r>
      </text>
    </comment>
    <comment ref="H1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КБУ, МУП ТС, ГЖКУ(убыткм)
с 2010 года МУП ЭС не относят к предприятиям ЖКХ.
</t>
        </r>
      </text>
    </comment>
  </commentList>
</comments>
</file>

<file path=xl/sharedStrings.xml><?xml version="1.0" encoding="utf-8"?>
<sst xmlns="http://schemas.openxmlformats.org/spreadsheetml/2006/main" count="421" uniqueCount="251">
  <si>
    <t>Целевые ориентиры программы социально-экономического развития ЗАТО Зеленогорск</t>
  </si>
  <si>
    <t>Наименование показателя</t>
  </si>
  <si>
    <t>Ед. изм.</t>
  </si>
  <si>
    <t>2007 год</t>
  </si>
  <si>
    <t>2008 год</t>
  </si>
  <si>
    <t>2009 год</t>
  </si>
  <si>
    <t>2011 год</t>
  </si>
  <si>
    <t>2012 год</t>
  </si>
  <si>
    <t>2013 год</t>
  </si>
  <si>
    <t>2014 год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</si>
  <si>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к предыдущему году – РАЗДЕЛ А-01: Сельское хозяйство</t>
  </si>
  <si>
    <t>%</t>
  </si>
  <si>
    <t xml:space="preserve">Уровень рентабельности сельскохозяйственного производства </t>
  </si>
  <si>
    <t>Урожайность зерновых культур с 1 га посевной площади</t>
  </si>
  <si>
    <t>ц/га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</si>
  <si>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к предыдущему году – РАЗДЕЛЫ С, Д, Е: Добыча полезных ископаемых (С), Обрабатывающие производства (Д), Производство и распределение электроэнергии, газа и воды (Е)</t>
  </si>
  <si>
    <t>Темп роста отгруженных товаров собственного производства, выполненных работ и услуг собственными силами в сопоставимых ценах, в процентах предыдущему году – РАЗДЕЛ F: Строительство</t>
  </si>
  <si>
    <t>Темп роста отгруженных товаров собственного производства, выполненных работ и услуг собственными силами организациями малого бизнеса в сопоставимых ценах, в процентах к предыдущему году</t>
  </si>
  <si>
    <t>Доля занятых в малом бизнесе от общей численности занятых в экономике</t>
  </si>
  <si>
    <t>Темп роста объема инвестиций в основной капитал в сопоставимых ценах, в процентах к предыдущему году</t>
  </si>
  <si>
    <t>Уровень зарегистрированной безработицы (к трудоспособному населению в трудоспособном возрасте)</t>
  </si>
  <si>
    <t>ед.</t>
  </si>
  <si>
    <t>Цель 2. Рост образовательного, культурного и духовного потенциала</t>
  </si>
  <si>
    <t>A. Развитие образования</t>
  </si>
  <si>
    <t xml:space="preserve">Обеспеченность дошкольными образовательными учреждениями  детей в возрасте от 1 года  до 6 лет 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</si>
  <si>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</si>
  <si>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Численность выпускников общеобразовательных учреждений, сдавших единый государственный экзамен (ЕГЭ) по обязательным предметам</t>
  </si>
  <si>
    <t>чел.</t>
  </si>
  <si>
    <t>единиц</t>
  </si>
  <si>
    <t>Численность выпускников общеобразовательных учреждений, набравших по результатам каждого экзамена, сданного ими в форме ЕГЭ, количество баллов не ниже минимального количества баллов (в соответствии со шкалой перевода, установленной Рособрнадзором) не менее чем по трём предметам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</si>
  <si>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</si>
  <si>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 xml:space="preserve">Количество детей-сирот и детей,  оставшихся без попечения родителей </t>
  </si>
  <si>
    <t>Доля переданных в семьи граждан детей-сирот и детей, оставшихся без попечения родителей, от общей численности детей-сирот и детей, оставшихся без попечения родителей</t>
  </si>
  <si>
    <t>Количество учащихся на 1 учителя</t>
  </si>
  <si>
    <t xml:space="preserve">Средняя наполняемость классов </t>
  </si>
  <si>
    <t>Количество общеобразовательных учреждений, в которых введена новая (отраслевая) система оплаты труда, ориентированная на результат</t>
  </si>
  <si>
    <t>Удельный вес безработных выпускников учреждений начального профессионального образования (далее – НПО), среднего профессионального образования (далее – СПО) в их общей численности</t>
  </si>
  <si>
    <t xml:space="preserve">Доля взрослого населения, прошедших переподготовку, повышение квалификации в учреждениях НПО, СПО, от числа молодежи, очных форм обучения </t>
  </si>
  <si>
    <t>Удельный вес правонарушений, совершенных учащимися и студентами учреждений НПО, СПО</t>
  </si>
  <si>
    <t>Доля обучающихся, охваченных дополнительным образованием, от общего количества обучающихся в учреждениях НПО, СПО</t>
  </si>
  <si>
    <t xml:space="preserve">Доля обучающихся детей-сирот и детей, оставшихся без попечения родителей, от  общей численности обучающихся в учреждениях НПО, СПО </t>
  </si>
  <si>
    <t>B. Развитие культуры и организация досуга населения</t>
  </si>
  <si>
    <t xml:space="preserve">Доля экспонируемых предметов от числа предметов основного музейного фонда </t>
  </si>
  <si>
    <t>Количество специалистов, повысивших квалификацию</t>
  </si>
  <si>
    <t>Цель 3. Обеспечение комплексной безопасности жизни и здоровья горожан</t>
  </si>
  <si>
    <t>A. Обеспечение общественной безопасности и правопорядка</t>
  </si>
  <si>
    <t>Количество раскрытых преступлений на 100 000 человек населения</t>
  </si>
  <si>
    <t>Тяжесть последствий дорожно-транспортных происшествий (количество погибших на 100 пострадавших)</t>
  </si>
  <si>
    <t>B. Охрана здоровья населения и формирование здорового образа жизни</t>
  </si>
  <si>
    <t>Доля медицинских учреждений, получивших лицензию</t>
  </si>
  <si>
    <t>Младенческая смертность (число детей, умерших в возрасте до одного года, на 1000 родившихся живыми)</t>
  </si>
  <si>
    <t>случаев</t>
  </si>
  <si>
    <t>Число выявленных больных туберкулезом с впервые в жизни установленным диагнозом
(на 100 000 человек населения)</t>
  </si>
  <si>
    <t>случаев заболевания</t>
  </si>
  <si>
    <t>Удельный вес беременных женщин, поступивших под наблюдение в женские консультации до 12 недель беременности</t>
  </si>
  <si>
    <t>Уровень абортов (на 1000 женщин фертильного возраста)</t>
  </si>
  <si>
    <t>коек</t>
  </si>
  <si>
    <t>Мощность амбулаторно-поликлинических учреждений</t>
  </si>
  <si>
    <t>посещений в смену</t>
  </si>
  <si>
    <t>Общее количество врачебных посещений в год</t>
  </si>
  <si>
    <t>посещений</t>
  </si>
  <si>
    <t>Среднее число посещений на одного работающего</t>
  </si>
  <si>
    <t>Объем оказания амбулаторно-поликлинической помощи</t>
  </si>
  <si>
    <t>посещений на 1 жителя в год</t>
  </si>
  <si>
    <t>Обеспеченность врачами (на 10 000 человек населения)</t>
  </si>
  <si>
    <t xml:space="preserve">человек </t>
  </si>
  <si>
    <t>Объем помощи в дневных стационарах всех типов</t>
  </si>
  <si>
    <t>пациенто-дней на 1 жителя в год</t>
  </si>
  <si>
    <t>Объем скорой медицинской помощи</t>
  </si>
  <si>
    <t>вызовов  на 1 жителя в год</t>
  </si>
  <si>
    <t>Объем стационарной медицинской помощи</t>
  </si>
  <si>
    <t>койко-дней на 1 жителя</t>
  </si>
  <si>
    <t>Обеспеченность средним медперсоналом (на 10 000 человек населения)</t>
  </si>
  <si>
    <t>Смертность населения в трудоспособном возрасте</t>
  </si>
  <si>
    <t>Смертность населения в трудоспособном возрасте от болезней системы кровообращения</t>
  </si>
  <si>
    <t xml:space="preserve">Обеспеченность населения спортивными сооружениями  </t>
  </si>
  <si>
    <t>Численность занимающихся физической культурой и спортом (на конец года)</t>
  </si>
  <si>
    <t>Удельный вес граждан, фактически пользующихся мерами социальной поддержки от общего количества граждан, имеющих право на меры социальной поддержки</t>
  </si>
  <si>
    <t>Удельный вес семей, пользующихся  субсидиями на оплату жилого помещения и коммунальных услуг, по отношению к общему количеству семей, проживающих на территории города</t>
  </si>
  <si>
    <t>Охват граждан пожилого возраста и инвалидов всеми видами социального обслуживания на дому</t>
  </si>
  <si>
    <t>человек на 10 000 пенсионеров</t>
  </si>
  <si>
    <t>Удельный вес граждан пожилого возраста и инвалидов, получающих государственные услуги в  нестационарных учреждениях социального обслуживания, от общего числа обратившихся граждан пожилого возраста и инвалидов</t>
  </si>
  <si>
    <t>Количество человек, погибших при ЧС, в процентах к 2005 году</t>
  </si>
  <si>
    <t>Количество человек, пострадавших при ЧС, в процентах к 2005 году</t>
  </si>
  <si>
    <t>Удельный вес уловленных и обезвреженных вредных веществ в общем объёме загрязняющих веществ, поступающих от стационарных источников загрязнения воздуха</t>
  </si>
  <si>
    <t>тыс. чел.</t>
  </si>
  <si>
    <t>Объем отходов, подлежащий захоронению на полигоне ТБО</t>
  </si>
  <si>
    <t>тыс. тн</t>
  </si>
  <si>
    <t>Цель 4. Улучшение качества городской среды</t>
  </si>
  <si>
    <t xml:space="preserve">B. Формирование рынка доступного жилья и обеспечение безопасных и комфортных условий проживания в нем </t>
  </si>
  <si>
    <t>кв.м</t>
  </si>
  <si>
    <t>Уровень обеспеченности населения города жильем</t>
  </si>
  <si>
    <t>кв. м/ чел.</t>
  </si>
  <si>
    <t>Удельный вес общей площади жилищного фонда, оборудованной водопроводом, канализацией, центральным отоплением, горячим водоснабжением, электроплитами (газом)</t>
  </si>
  <si>
    <t>Доля безубыточных предприятий жилищно-коммунального комплекса</t>
  </si>
  <si>
    <t>Фактический (сложившийся) уровень оплаты населением жилищно-коммунальных услуг</t>
  </si>
  <si>
    <t xml:space="preserve">Доля многоквартирных домов, в которых собственники помещений выбрали и реализуют способ управления многоквартирными домами </t>
  </si>
  <si>
    <t>Доля убыточных предприятий, осуществляющих управление многоквартирными домами и (или) эксплуатирующих объекты коммунального назначения, находящиеся в муниципальной собственности и переданные таким организациям на праве хозяйственного ведения, аренды, концессии и иных правовых основаниях независимо от формы собственности</t>
  </si>
  <si>
    <t>Фактическая оплата населением за  жилищно-коммунальные услуги от начисленных платежей (собираемость)</t>
  </si>
  <si>
    <t xml:space="preserve">C. Развитие инженерной инфраструктуры </t>
  </si>
  <si>
    <t>Интегральный показатель аварийности на 100 км сетей</t>
  </si>
  <si>
    <t>на 1000 населения</t>
  </si>
  <si>
    <t>Доля трудоустроенных граждан в общей численности граждан, обратившихся за содействием в государственные учреждения занятости с целью поиска подходящей работы</t>
  </si>
  <si>
    <t>Количество зарегистрированных  преступлений, всего</t>
  </si>
  <si>
    <t>Количество раскрытых  преступлений, всего</t>
  </si>
  <si>
    <t>40.  </t>
  </si>
  <si>
    <t>количество раскрытых преступлений</t>
  </si>
  <si>
    <t>доля раскрытых преступлений</t>
  </si>
  <si>
    <t>Доля раскрытых преступлений от общего числа зарегистрированных преступлений</t>
  </si>
  <si>
    <t>41.  </t>
  </si>
  <si>
    <t>человек</t>
  </si>
  <si>
    <t>Количество лиц, погибших в результате дорожно-транспортных происшествий</t>
  </si>
  <si>
    <t>Количество лиц, пострадавших  в результате дорожно-транспортных происшествий</t>
  </si>
  <si>
    <t xml:space="preserve">Количество дорожно-транстпортных происшествий с наличием пострадавших (на 10000 стоящих на учёте транспортных средств) </t>
  </si>
  <si>
    <t xml:space="preserve"> кв. м общей площади</t>
  </si>
  <si>
    <t>Количество клубных формирований при учреждениях культурно-досугового типа муниципальной формы собственности</t>
  </si>
  <si>
    <t>Объём новых изданий, поступивших  в фонды общедоступных библиотек</t>
  </si>
  <si>
    <t xml:space="preserve">Число посещений библиотеки </t>
  </si>
  <si>
    <t>Число посещений библиотеки на 1000 человек населения</t>
  </si>
  <si>
    <t>Количество основного музейного фонда</t>
  </si>
  <si>
    <t>Количество посетителей музеев</t>
  </si>
  <si>
    <t>Количество зарегистрированных музейных предметов в Музейном фонде Российской Федерации</t>
  </si>
  <si>
    <t>Количество  учащихся в детской музыкальной школе</t>
  </si>
  <si>
    <t>Количество учащихся в детской художественной школе</t>
  </si>
  <si>
    <t>_</t>
  </si>
  <si>
    <t>Доля частных управляющих компаний (с долей участия муниципального образования и (или) субъекта не более 25%) в общем количестве управляющих компаний</t>
  </si>
  <si>
    <t>№
до согласования</t>
  </si>
  <si>
    <t xml:space="preserve">№
</t>
  </si>
  <si>
    <t>Охват детского населения в возрасте от 7 до 15 лет обучением в детской музыкальной и художественной школах города</t>
  </si>
  <si>
    <t>Доля от общего контингента учащихся группы профессиональной ориентации (детской музыкальной и художественной школ)</t>
  </si>
  <si>
    <t>Доля от количества выпускников детской музыкальной и художественной школ, продолжающих обучение в профессиональных учебных заведениях среднего и высшего профессионального образования</t>
  </si>
  <si>
    <t>кол-во выпускников</t>
  </si>
  <si>
    <t>ДХШ</t>
  </si>
  <si>
    <t>ДМШ</t>
  </si>
  <si>
    <t>ко-во учащихся</t>
  </si>
  <si>
    <t>кол-во в профориентационных группах</t>
  </si>
  <si>
    <t>кол-во продолживших обучение</t>
  </si>
  <si>
    <t xml:space="preserve">Доля населения, участвующего в платных культурно-досуговых мероприятиях, организованных органами местного самоуправления </t>
  </si>
  <si>
    <t xml:space="preserve">Количество посетителей музеев на 1000 человек населения </t>
  </si>
  <si>
    <t>Численность постоянного населения (среднегодовая)-27.09.2011</t>
  </si>
  <si>
    <t>Количество коек в лечебно-профилактических учреждениях и организациях</t>
  </si>
  <si>
    <t>Количество вызовов скорой медицинской помощи</t>
  </si>
  <si>
    <t>единовременная пропускная способность</t>
  </si>
  <si>
    <t>Численность врачей в лечебно-профилактических учреждениях и организациях (на конец периода) - физические лица</t>
  </si>
  <si>
    <t>Численность постоянного населения (на конец года)</t>
  </si>
  <si>
    <t>Общая площадь жилищного фонда, введённая за год, приходящаяся на 1 жителя</t>
  </si>
  <si>
    <t xml:space="preserve">Доля частных организаций коммунального комплекса (с долей участия муниципального образования и (или) субъекта не более 25%) в общем количестве управляющих организаций коммунального комплекса, оказывающих услуги теплоснабжения, водоснабжения, водоотведения и очистки сточных вод, утилизации (захоронения) твердых бытовых отходов </t>
  </si>
  <si>
    <t>Количество домов с долей износа более 31%</t>
  </si>
  <si>
    <t>Количество домов с долей износа более 31%, в которых проведён капитальный ремонт-ПРОГНОЗ</t>
  </si>
  <si>
    <t>Количество домов , в которых проведён капитальный ремонт, всего-ПРОГНОЗ</t>
  </si>
  <si>
    <t>Количество домов с долей износа более 31%, в которых проведён капитальный ремонт-22.08.2011</t>
  </si>
  <si>
    <t>Количество домов с долей износа более 31%, в которых проведён капитальный ремонт-к последнему варианту</t>
  </si>
  <si>
    <r>
      <t xml:space="preserve">Цель 1. </t>
    </r>
    <r>
      <rPr>
        <b/>
        <sz val="14"/>
        <rFont val="Times New Roman"/>
        <family val="1"/>
      </rPr>
      <t>Обеспечение эффективного использования и увеличения экономического потенциала</t>
    </r>
  </si>
  <si>
    <r>
      <t>Запущенность онкологических заболеваний (на 1000 человек населения)</t>
    </r>
    <r>
      <rPr>
        <i/>
        <sz val="14"/>
        <rFont val="Times New Roman"/>
        <family val="1"/>
      </rPr>
      <t xml:space="preserve"> </t>
    </r>
  </si>
  <si>
    <r>
      <t xml:space="preserve">Удельный вес инвалидов, систематически занимающихся физической культурой и спортом </t>
    </r>
    <r>
      <rPr>
        <i/>
        <sz val="14"/>
        <color indexed="12"/>
        <rFont val="Times New Roman"/>
        <family val="1"/>
      </rPr>
      <t xml:space="preserve"> </t>
    </r>
  </si>
  <si>
    <r>
      <t>C.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Совершенствование защиты населения и территории города от чрезвычайных ситуаций природного и техногенного характера</t>
    </r>
  </si>
  <si>
    <r>
      <t>D. Обеспечение экологической безопасности и охрана окружающей среды</t>
    </r>
    <r>
      <rPr>
        <i/>
        <sz val="14"/>
        <color indexed="18"/>
        <rFont val="Times New Roman"/>
        <family val="1"/>
      </rPr>
      <t xml:space="preserve"> </t>
    </r>
  </si>
  <si>
    <t xml:space="preserve">Коэффициент напряжённости на регистрируемом рынке труда (отношение численности незанятых граждан к количеству заявленных вакансий, в среднемесячном исчислении)
</t>
  </si>
  <si>
    <t xml:space="preserve">Доля общеобразовательных учреждений, соответствующих требованиям действующего законодательства (ППБ 01-03, СанПиН, СНиП), от общего количества общеобразовательных учреждений </t>
  </si>
  <si>
    <t>Количество лауреатов творческих конкурсов краевого, регионального, всероссийского уровня, учащихся в детской художественной школе</t>
  </si>
  <si>
    <t>Количество лауреатов творческих конкурсов краевого, регионального, всероссийского уровня, учащихся в детской музыкальной школе</t>
  </si>
  <si>
    <t>Доля учащихся группы профессиональной ориентации от общего количества учащихся в детской музыкальной школе</t>
  </si>
  <si>
    <t>Доля выпускников детской музыкальной школы, продолжающих обучение в профессиональных учебных заведениях среднего и высшего профессионального образования, от общего количества выпускников</t>
  </si>
  <si>
    <t>Доля учащихся группы профессиональной ориентации от общего количества учащихся в детской художественной школе</t>
  </si>
  <si>
    <t>Доля выпускников детской художественной школы, продолжающих обучение в профессиональных учебных заведениях среднего и высшего профессионального образования, от общего количества выпускников</t>
  </si>
  <si>
    <t>Ввод общей площади жилья за счёт всех источников финансирования</t>
  </si>
  <si>
    <t>Численность населения, проживающего на территориях, подверженных затоплению</t>
  </si>
  <si>
    <t>Количество многоквартирных домов (без учёта домов блокированной застройки), находящихся в управлении ТСЖ</t>
  </si>
  <si>
    <t>Доля многоквартирных домов, оснащенных индивидуальными и коллективными (общедомовыми) приборами учёта, в общем количестве многоквартирных домов</t>
  </si>
  <si>
    <t>Количество многоквартирных домов, оснащенных индивидуальными и коллективными (общедомовыми) приборами учёта</t>
  </si>
  <si>
    <t>Доля многоквартирных домов, в которых расчёт за коммунальные услуги осуществляется по показаниям индивидуальных и коллективных (общедомовых) приборов учёта, в общем количестве многоквартирных домов</t>
  </si>
  <si>
    <t>Количество многоквартирных домов, в которых расчёт за коммунальные услуги осуществляется по показаниям индивидуальных и коллективных (общедомовых) приборов учёта</t>
  </si>
  <si>
    <t>Общее количество многоквартирных домов (без учёта домов блокированной застройки), расположенных на территории муниципального образования</t>
  </si>
  <si>
    <t>Количество многоквартирных домов (без учёта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</t>
  </si>
  <si>
    <t>Примечания:</t>
  </si>
  <si>
    <t>Уровень износа коммунальной инфраструктуры</t>
  </si>
  <si>
    <r>
      <t>Удельный вес детей-инвалидов, проживающих в семьях, получивших реабилитационные услуги в учреждениях социального обслуживания семей и детей, к общему числу детей-инвалидов</t>
    </r>
    <r>
      <rPr>
        <vertAlign val="superscript"/>
        <sz val="14"/>
        <rFont val="Times New Roman"/>
        <family val="1"/>
      </rPr>
      <t>*</t>
    </r>
  </si>
  <si>
    <t>-</t>
  </si>
  <si>
    <r>
      <t>Доля многоквартирных домов (без учёта домов блокированной застройки), находящихся в управлении частных управляющих компаний (с долей участия муниципального образования и (или) субъекта не более 25%) в общем количестве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</si>
  <si>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r>
      <t>Доля многоквартирных домов (без учёта домов блокированной застройки), находящихся в управлении ТСЖ, в общем количестве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</si>
  <si>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r>
      <t>Доля многоквартирных домов (без учёта домов блокированной застройки) с долей износа более 31%, в которых проведен капитальный ремонт, от общего количества многоквартирных домов(без учёта домов блокированной застройки)</t>
    </r>
    <r>
      <rPr>
        <vertAlign val="superscript"/>
        <sz val="14"/>
        <rFont val="Times New Roman"/>
        <family val="1"/>
      </rPr>
      <t>**</t>
    </r>
    <r>
      <rPr>
        <sz val="14"/>
        <rFont val="Times New Roman"/>
        <family val="1"/>
      </rPr>
      <t xml:space="preserve"> </t>
    </r>
  </si>
  <si>
    <r>
      <t>Доля многоквартирных домов (без учёта домов блокированной застройки), земельные участки под которыми поставлены на государственный кадастровый учёт, в общем количества многоквартирных домов (без учёта домов блокированной застройки)</t>
    </r>
    <r>
      <rPr>
        <vertAlign val="superscript"/>
        <sz val="14"/>
        <rFont val="Times New Roman"/>
        <family val="1"/>
      </rPr>
      <t>**</t>
    </r>
  </si>
  <si>
    <t xml:space="preserve"> ** - к домам блокированной застройки на территории города Зеленогорск относятся двухквартирные жилые дома. </t>
  </si>
  <si>
    <t xml:space="preserve"> *  - в 2007-2009 годах планирование и учёт показателя не осуществлялось,</t>
  </si>
  <si>
    <t>Обеспеченность больничными койками
(на 10 000 человек населения)</t>
  </si>
  <si>
    <t>2016 год</t>
  </si>
  <si>
    <t>2017 год</t>
  </si>
  <si>
    <t>2018 год</t>
  </si>
  <si>
    <t>2019 год</t>
  </si>
  <si>
    <t>2020 год</t>
  </si>
  <si>
    <t>2010 год</t>
  </si>
  <si>
    <t>Численность среднего медперсонала в лечебно-профилактических учреждениях и организациях (на конец периода) - физические лица</t>
  </si>
  <si>
    <t>число выявленных случаев злокачественных новообразований в 3-4 стадиях заболевания (данные ФГБУЗ СКЦ ФМБ Росии КБ№42)</t>
  </si>
  <si>
    <t>численность больных с впервые в жизни установленным диагнозом туберкулез (данные ФГБУЗ СКЦ ФМБ Росии КБ№42)</t>
  </si>
  <si>
    <t>Численность детей, умерших в возрсте до 1 года (данные ФГБУЗ СКЦ ФМБ Росии КБ№42)</t>
  </si>
  <si>
    <t>Численность детей, родившихся живыми (данные ФГБУЗ СКЦ ФМБ Росии КБ№42)</t>
  </si>
  <si>
    <t>Численность беременных женщин поступивших под наблюдение в женские консультации до 12 недель беременности (данные ФГБУЗ СКЦ ФМБ Росии КБ№42)</t>
  </si>
  <si>
    <t>Численность беременных женщин, всего (данные ФГБУЗ СКЦ ФМБ Росии КБ№42)</t>
  </si>
  <si>
    <t>Количество обортов</t>
  </si>
  <si>
    <t>Общее количество управляющих компаний</t>
  </si>
  <si>
    <t xml:space="preserve">Количество частных управляющих компаний </t>
  </si>
  <si>
    <t>Уровень возмещения населением затрат на предоставление жилищно-коммунальных услуг по установленным для населения тарифам - прогноз стр.17.51</t>
  </si>
  <si>
    <t>Уровень собираемости платежей за предоставленные жилищно-коммунальные услуги - прогноз стр.17.54</t>
  </si>
  <si>
    <t>Общая площадь жилищного фонда всех форм собственности, приходящаяся на 1 чел. населения - прогноз стр.17.2</t>
  </si>
  <si>
    <t>при общей площади жилищного фонда 1521,7 и оборудованной системами жизнеобеспечения 1481,1</t>
  </si>
  <si>
    <t>1481,1/1521,7*100</t>
  </si>
  <si>
    <t>Количество общеобразовательных учреждений сократилось с 10 единиц в 2013 году до 9 единиц в 2014 году (в результате реструктуризации путем присоединения МБОУ "СОШ № 170" к МБОУ "СОШ № 169" (отчет по программе СЭР города в 2015 г.)</t>
  </si>
  <si>
    <t>Обеспеченность дошкольными образовательными организациями детей в возрасте от 1 до 6 лет - прогноз стр. 23.13</t>
  </si>
  <si>
    <t>стр. 9, 10, 11 - данные КГКУ "ЦЗН ЗАТО г.Зеленогорка"</t>
  </si>
  <si>
    <t xml:space="preserve">Численность детей, посещающих дошкольные образовательные организации,  включая посещающих начальные школы-детские сады, филиалы дошкольных и общеобразовательных учреждений, группы дошкольного образования при школах и т.д. - прогноз стр. 23.6 </t>
  </si>
  <si>
    <t>численность детей в возрасте от 3 до 7 лет (с учетом детей 7 лет),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(с учетом ГКП) - прогноз стр. 23.6.3</t>
  </si>
  <si>
    <t>Численность выпускников дневных общеобразовательных организаций муниципальной формы собственности, сдававших единый государственный экзамен - прогноз стр. 23.46</t>
  </si>
  <si>
    <t>Доля детей в возрасте от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- прогноз стр. 23.70</t>
  </si>
  <si>
    <t>Численность детей-сирот и детей, оставшихся без попечения родителей, состоящих на учете - прогноз стр. 23.89</t>
  </si>
  <si>
    <t>Доля общеобразовательных организаций всех форм собственности, соответствующих санитарно-гигиеническим правилам и нормативам - прогноз стр. 23.19.1</t>
  </si>
  <si>
    <t>среднегодовая численность учащихся, приходящихся на одного учителя, работающего в общеобразовательных организациях муниципальной формы собственности - прогноз стр. 23.37.4</t>
  </si>
  <si>
    <t>среднегодовая наполняемость классов, классов-комплектов в дневных общеобразовательных организациях муниципальной формы собственности - в городских поселениях - прогноз стр. 23.42.1</t>
  </si>
  <si>
    <t xml:space="preserve">Количество зарегистрированных преступлений - прогноз стр. 22.3 </t>
  </si>
  <si>
    <t>Количество раскрытых преступлений - прогноз стр. 22.8</t>
  </si>
  <si>
    <t xml:space="preserve">Количество преступлений, совершаемых несовершеннолетними или при их участии - прогноз 22.9 </t>
  </si>
  <si>
    <t>Доля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 - прогноз стр. 17.21</t>
  </si>
  <si>
    <t>Факт</t>
  </si>
  <si>
    <t>План</t>
  </si>
  <si>
    <t>2015 год оценка</t>
  </si>
  <si>
    <t xml:space="preserve"> -</t>
  </si>
  <si>
    <t>Численность занятых в экономике (среднегодовая)</t>
  </si>
  <si>
    <t>женщины фертильного возраста</t>
  </si>
  <si>
    <t>количество населения данной возростной группы</t>
  </si>
  <si>
    <t>Смертность населения в трудоспособном возрасте (до 2014 данные по Крайстату, после данные ФГБУЗ СКЦ ФМБ Росии КБ№42)</t>
  </si>
  <si>
    <t>Смертность населения в трудоспособном возрасте от болезней системы кровообращения (до 2014 данные по Крайстату, после данные ФГБУЗ СКЦ ФМБ Росии КБ№42)</t>
  </si>
  <si>
    <r>
      <t xml:space="preserve">Удельный вес населения, систематически занимающегося физической культурой и спортом в общей численности населения (на конец года) </t>
    </r>
    <r>
      <rPr>
        <i/>
        <sz val="14"/>
        <color indexed="12"/>
        <rFont val="Times New Roman"/>
        <family val="1"/>
      </rPr>
      <t xml:space="preserve"> </t>
    </r>
  </si>
  <si>
    <t>74-1</t>
  </si>
  <si>
    <r>
      <t xml:space="preserve">Удельный вес населения, систематически занимающегося физической культурой и спортом в общей численности населения (в возрасте с 3 до 79 лет) </t>
    </r>
    <r>
      <rPr>
        <i/>
        <sz val="14"/>
        <color indexed="12"/>
        <rFont val="Times New Roman"/>
        <family val="1"/>
      </rPr>
      <t xml:space="preserve"> </t>
    </r>
  </si>
  <si>
    <t>численностьь молодежи общей формы обучения (профлицей 35)</t>
  </si>
  <si>
    <t>численностьь молодежи общей формы обучения (с ограниченными возможностями) (профлицей 35)</t>
  </si>
  <si>
    <t>численность взрослого неселения, прошедших переподготовку, повышение кваоифкации в учреждениях НСО, СПО (профлицей 35)</t>
  </si>
  <si>
    <t>численностьь молодежи общей формы обучения (КЭМТ НИЯУ МИФИ)</t>
  </si>
  <si>
    <t>численность взрослого неселения, прошедших переподготовку, повышение кваоифкации в учреждениях НСО, СПО (КЭМТ НИЯУ МИФИ)</t>
  </si>
  <si>
    <t xml:space="preserve">количество правонарушений, совершенных учащимися и студентами учреждений НПО, СПО (КЭМТ НИЯУ МИФИ)  </t>
  </si>
  <si>
    <t xml:space="preserve">количество правонарушений, совершенных учащимися и студентами учреждений НПО, СПО (профлицей 35)  </t>
  </si>
  <si>
    <t xml:space="preserve">численность обучающихся, охваченных дополнительным образованием (КЭМТ НИЯУ МИФИ)  </t>
  </si>
  <si>
    <t>стр. 25, 26, 27, 28 - данные КЭМТ НИЯУ МИФИ+профлицей 35</t>
  </si>
  <si>
    <t xml:space="preserve">численность обучающихся детей-сирот и детей, оставшихся без попечения родителей, от  общей численности обучающихся в учреждениях НПО, СПО (КЭМТ НИЯУ МИФИ)  </t>
  </si>
  <si>
    <t xml:space="preserve">численность обучающихся детей-сирот и детей, оставшихся без попечения родителей, от  общей численности обучающихся в учреждениях НПО, СПО, численностьь молодежи общей формы обучения (с ограниченными возможностями) (профлицей 35)  </t>
  </si>
  <si>
    <t xml:space="preserve">численность обучающихся, охваченных дополнительным образованием, численность молодежи общей формы обучения (с ограниченными возможностями) (профлицей 35)  </t>
  </si>
  <si>
    <t>Удельный вес безработных выпускников учреждений начального профессионального образования (далее – НПО), среднего профессионального образования (далее – СПО) в их общей численности (с 2016 года данные КГКУ "ЦЗН ЗАТО Зеленогорска")</t>
  </si>
  <si>
    <t>Численность населения, участвующего в платных  культурно-досуговых мероприятиях, организованных органами местного самоуправления(данные камитата по делам культуры"+ЦДиК)</t>
  </si>
  <si>
    <t>Численность выпускников 9-х классов, проходящих внешнюю независимую итоговую аттестацию, осуществляемую муниципальными, межшкольными экзаменационными комиссиями (с 01.09.2013 все выпускники 9-х классов проходят внешнюю итоговую аттестацию)</t>
  </si>
  <si>
    <t>Количество преступлений, совершённых несовершеннолетними или при их участии</t>
  </si>
  <si>
    <t xml:space="preserve">Исполнитель:
Отдел экономики 
Администрации ЗАТО г. Зеленогорска
________________Е.Ю. Шорникова
</t>
  </si>
  <si>
    <t xml:space="preserve">       Приложение № 6
       к решению Совета депутатов 
       ЗАТО г. Зеленогорска 
       от 25.02.2016 № 19-120р   
              Приложение № 6  
              к комплексной программе
              социально-экономического развития 
              ЗАТО Зеленогорск на период до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</si>
</sst>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#,##0.0_ ;\-#,##0.0\ "/>
    <numFmt numFmtId="176" formatCode="#,##0_ ;\-#,##0\ "/>
    <numFmt numFmtId="177" formatCode="0.00000"/>
    <numFmt numFmtId="178" formatCode="#,##0.000"/>
    <numFmt numFmtId="179" formatCode="0.0000"/>
  </numFmts>
  <fonts count="75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i/>
      <sz val="12"/>
      <color indexed="10"/>
      <name val="Times New Roman"/>
      <family val="1"/>
    </font>
    <font>
      <sz val="12"/>
      <name val="Helv"/>
      <family val="0"/>
    </font>
    <font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8"/>
      <name val="Times New Roman"/>
      <family val="1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vertAlign val="superscript"/>
      <sz val="14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i/>
      <sz val="10"/>
      <name val="Helv"/>
      <family val="0"/>
    </font>
    <font>
      <b/>
      <sz val="12"/>
      <name val="Tahom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8" fillId="33" borderId="0" xfId="0" applyNumberFormat="1" applyFont="1" applyFill="1" applyBorder="1" applyAlignment="1" applyProtection="1">
      <alignment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8" fillId="34" borderId="0" xfId="0" applyNumberFormat="1" applyFont="1" applyFill="1" applyBorder="1" applyAlignment="1" applyProtection="1">
      <alignment vertical="top"/>
      <protection/>
    </xf>
    <xf numFmtId="0" fontId="3" fillId="34" borderId="0" xfId="0" applyNumberFormat="1" applyFont="1" applyFill="1" applyBorder="1" applyAlignment="1" applyProtection="1">
      <alignment horizontal="center" vertical="top"/>
      <protection/>
    </xf>
    <xf numFmtId="0" fontId="18" fillId="34" borderId="0" xfId="0" applyNumberFormat="1" applyFont="1" applyFill="1" applyBorder="1" applyAlignment="1" applyProtection="1">
      <alignment vertical="top"/>
      <protection/>
    </xf>
    <xf numFmtId="1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0" xfId="0" applyFont="1" applyFill="1" applyBorder="1" applyAlignment="1">
      <alignment horizontal="center" vertical="top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0" fontId="32" fillId="34" borderId="0" xfId="0" applyNumberFormat="1" applyFont="1" applyFill="1" applyBorder="1" applyAlignment="1" applyProtection="1">
      <alignment vertical="top"/>
      <protection/>
    </xf>
    <xf numFmtId="0" fontId="1" fillId="34" borderId="10" xfId="0" applyFont="1" applyFill="1" applyBorder="1" applyAlignment="1">
      <alignment horizontal="left" vertical="top" indent="1"/>
    </xf>
    <xf numFmtId="0" fontId="2" fillId="34" borderId="0" xfId="0" applyNumberFormat="1" applyFont="1" applyFill="1" applyBorder="1" applyAlignment="1" applyProtection="1">
      <alignment vertical="top"/>
      <protection/>
    </xf>
    <xf numFmtId="0" fontId="20" fillId="34" borderId="10" xfId="0" applyFont="1" applyFill="1" applyBorder="1" applyAlignment="1">
      <alignment horizontal="center" vertical="top"/>
    </xf>
    <xf numFmtId="0" fontId="15" fillId="34" borderId="0" xfId="0" applyNumberFormat="1" applyFont="1" applyFill="1" applyBorder="1" applyAlignment="1" applyProtection="1">
      <alignment vertical="top"/>
      <protection/>
    </xf>
    <xf numFmtId="0" fontId="11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top"/>
    </xf>
    <xf numFmtId="0" fontId="8" fillId="34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15" fillId="34" borderId="0" xfId="0" applyNumberFormat="1" applyFont="1" applyFill="1" applyBorder="1" applyAlignment="1" applyProtection="1">
      <alignment vertical="top"/>
      <protection/>
    </xf>
    <xf numFmtId="0" fontId="8" fillId="34" borderId="0" xfId="0" applyNumberFormat="1" applyFont="1" applyFill="1" applyBorder="1" applyAlignment="1" applyProtection="1">
      <alignment horizontal="center" vertical="top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0" fontId="20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 vertical="center"/>
    </xf>
    <xf numFmtId="0" fontId="15" fillId="34" borderId="0" xfId="0" applyNumberFormat="1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top"/>
      <protection/>
    </xf>
    <xf numFmtId="0" fontId="14" fillId="34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5" xfId="0" applyFont="1" applyFill="1" applyBorder="1" applyAlignment="1">
      <alignment vertical="top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20" fillId="34" borderId="10" xfId="0" applyFont="1" applyFill="1" applyBorder="1" applyAlignment="1">
      <alignment horizontal="left" vertical="top" indent="1"/>
    </xf>
    <xf numFmtId="0" fontId="20" fillId="34" borderId="10" xfId="0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/>
      <protection/>
    </xf>
    <xf numFmtId="173" fontId="3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0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3" fontId="2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 applyProtection="1">
      <alignment horizontal="center" vertical="center"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173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 indent="2"/>
    </xf>
    <xf numFmtId="172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10" xfId="62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2" fillId="0" borderId="18" xfId="0" applyFont="1" applyFill="1" applyBorder="1" applyAlignment="1">
      <alignment horizontal="left" vertical="top" wrapText="1"/>
    </xf>
    <xf numFmtId="0" fontId="2" fillId="0" borderId="0" xfId="54" applyFill="1">
      <alignment/>
      <protection/>
    </xf>
    <xf numFmtId="49" fontId="1" fillId="0" borderId="0" xfId="54" applyNumberFormat="1" applyFont="1" applyFill="1" applyAlignment="1">
      <alignment wrapText="1"/>
      <protection/>
    </xf>
    <xf numFmtId="0" fontId="0" fillId="0" borderId="0" xfId="0" applyFill="1" applyAlignment="1">
      <alignment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/>
    </xf>
    <xf numFmtId="0" fontId="19" fillId="0" borderId="17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/>
    </xf>
    <xf numFmtId="0" fontId="27" fillId="0" borderId="17" xfId="0" applyFont="1" applyFill="1" applyBorder="1" applyAlignment="1">
      <alignment horizontal="left" vertical="top"/>
    </xf>
    <xf numFmtId="0" fontId="27" fillId="0" borderId="18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49" fontId="25" fillId="0" borderId="0" xfId="54" applyNumberFormat="1" applyFont="1" applyFill="1" applyAlignment="1">
      <alignment horizontal="left" wrapText="1"/>
      <protection/>
    </xf>
    <xf numFmtId="0" fontId="26" fillId="0" borderId="14" xfId="0" applyFont="1" applyFill="1" applyBorder="1" applyAlignment="1">
      <alignment horizontal="center" vertical="top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49" fontId="12" fillId="34" borderId="19" xfId="0" applyNumberFormat="1" applyFont="1" applyFill="1" applyBorder="1" applyAlignment="1" applyProtection="1">
      <alignment horizontal="center" vertical="center"/>
      <protection/>
    </xf>
    <xf numFmtId="49" fontId="25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S212"/>
  <sheetViews>
    <sheetView tabSelected="1" view="pageBreakPreview" zoomScale="80" zoomScaleNormal="75" zoomScaleSheetLayoutView="80" zoomScalePageLayoutView="0" workbookViewId="0" topLeftCell="B1">
      <pane ySplit="7" topLeftCell="A8" activePane="bottomLeft" state="frozen"/>
      <selection pane="topLeft" activeCell="B1" sqref="B1"/>
      <selection pane="bottomLeft" activeCell="U1" sqref="U1"/>
    </sheetView>
  </sheetViews>
  <sheetFormatPr defaultColWidth="8.875" defaultRowHeight="12.75"/>
  <cols>
    <col min="1" max="1" width="6.125" style="2" hidden="1" customWidth="1"/>
    <col min="2" max="2" width="6.125" style="106" customWidth="1"/>
    <col min="3" max="3" width="58.75390625" style="38" customWidth="1"/>
    <col min="4" max="4" width="13.25390625" style="107" customWidth="1"/>
    <col min="5" max="18" width="11.25390625" style="106" customWidth="1"/>
    <col min="19" max="16384" width="8.875" style="1" customWidth="1"/>
  </cols>
  <sheetData>
    <row r="1" spans="1:18" s="112" customFormat="1" ht="152.25" customHeight="1">
      <c r="A1" s="110"/>
      <c r="B1" s="110"/>
      <c r="C1" s="110"/>
      <c r="D1" s="111"/>
      <c r="E1" s="111"/>
      <c r="F1" s="111"/>
      <c r="G1" s="111"/>
      <c r="I1" s="111"/>
      <c r="J1" s="111"/>
      <c r="K1" s="111"/>
      <c r="L1" s="111"/>
      <c r="N1" s="131" t="s">
        <v>250</v>
      </c>
      <c r="O1" s="131"/>
      <c r="P1" s="131"/>
      <c r="Q1" s="131"/>
      <c r="R1" s="131"/>
    </row>
    <row r="2" spans="1:18" s="4" customFormat="1" ht="32.25" customHeight="1" hidden="1">
      <c r="A2" s="3"/>
      <c r="B2" s="54"/>
      <c r="C2" s="55"/>
      <c r="D2" s="56"/>
      <c r="E2" s="54"/>
      <c r="F2" s="54"/>
      <c r="G2" s="54"/>
      <c r="H2" s="54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4" customFormat="1" ht="20.25" customHeight="1">
      <c r="A3" s="3"/>
      <c r="B3" s="54"/>
      <c r="C3" s="132" t="s">
        <v>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58"/>
      <c r="O3" s="58"/>
      <c r="P3" s="58"/>
      <c r="Q3" s="58"/>
      <c r="R3" s="58"/>
    </row>
    <row r="4" spans="1:18" s="6" customFormat="1" ht="33" customHeight="1" hidden="1">
      <c r="A4" s="5"/>
      <c r="B4" s="59"/>
      <c r="C4" s="60" t="s">
        <v>144</v>
      </c>
      <c r="D4" s="61"/>
      <c r="E4" s="62"/>
      <c r="F4" s="62"/>
      <c r="G4" s="62"/>
      <c r="H4" s="63">
        <v>65982</v>
      </c>
      <c r="I4" s="63">
        <v>65617</v>
      </c>
      <c r="J4" s="63">
        <v>65055</v>
      </c>
      <c r="K4" s="63">
        <v>64343</v>
      </c>
      <c r="L4" s="63">
        <v>63388</v>
      </c>
      <c r="M4" s="63">
        <v>62988</v>
      </c>
      <c r="N4" s="63">
        <v>62738</v>
      </c>
      <c r="O4" s="63">
        <v>62613</v>
      </c>
      <c r="P4" s="63">
        <v>62603</v>
      </c>
      <c r="Q4" s="63">
        <v>62655</v>
      </c>
      <c r="R4" s="63">
        <v>62770</v>
      </c>
    </row>
    <row r="5" spans="1:18" s="6" customFormat="1" ht="33" customHeight="1" hidden="1">
      <c r="A5" s="5"/>
      <c r="B5" s="59"/>
      <c r="C5" s="64" t="s">
        <v>139</v>
      </c>
      <c r="D5" s="61"/>
      <c r="E5" s="44">
        <v>68564</v>
      </c>
      <c r="F5" s="44">
        <v>68545</v>
      </c>
      <c r="G5" s="44">
        <v>68479</v>
      </c>
      <c r="H5" s="44">
        <v>66112</v>
      </c>
      <c r="I5" s="44">
        <v>65819</v>
      </c>
      <c r="J5" s="44">
        <v>65336</v>
      </c>
      <c r="K5" s="44">
        <v>64699</v>
      </c>
      <c r="L5" s="44">
        <v>63865</v>
      </c>
      <c r="M5" s="44">
        <v>63188</v>
      </c>
      <c r="N5" s="44">
        <v>62863</v>
      </c>
      <c r="O5" s="44">
        <v>62676</v>
      </c>
      <c r="P5" s="44">
        <v>62608</v>
      </c>
      <c r="Q5" s="44">
        <v>62629</v>
      </c>
      <c r="R5" s="44">
        <v>62713</v>
      </c>
    </row>
    <row r="6" spans="1:18" s="4" customFormat="1" ht="24" customHeight="1">
      <c r="A6" s="133" t="s">
        <v>126</v>
      </c>
      <c r="B6" s="118" t="s">
        <v>127</v>
      </c>
      <c r="C6" s="136" t="s">
        <v>1</v>
      </c>
      <c r="D6" s="138" t="s">
        <v>2</v>
      </c>
      <c r="E6" s="116" t="s">
        <v>221</v>
      </c>
      <c r="F6" s="117"/>
      <c r="G6" s="117"/>
      <c r="H6" s="117"/>
      <c r="I6" s="117"/>
      <c r="J6" s="117"/>
      <c r="K6" s="117"/>
      <c r="L6" s="117"/>
      <c r="M6" s="118" t="s">
        <v>223</v>
      </c>
      <c r="N6" s="116" t="s">
        <v>222</v>
      </c>
      <c r="O6" s="117"/>
      <c r="P6" s="117"/>
      <c r="Q6" s="117"/>
      <c r="R6" s="139"/>
    </row>
    <row r="7" spans="1:18" s="4" customFormat="1" ht="39" customHeight="1">
      <c r="A7" s="134"/>
      <c r="B7" s="135"/>
      <c r="C7" s="137"/>
      <c r="D7" s="135"/>
      <c r="E7" s="23" t="s">
        <v>3</v>
      </c>
      <c r="F7" s="23" t="s">
        <v>4</v>
      </c>
      <c r="G7" s="25" t="s">
        <v>5</v>
      </c>
      <c r="H7" s="26" t="s">
        <v>190</v>
      </c>
      <c r="I7" s="24" t="s">
        <v>6</v>
      </c>
      <c r="J7" s="23" t="s">
        <v>7</v>
      </c>
      <c r="K7" s="23" t="s">
        <v>8</v>
      </c>
      <c r="L7" s="25" t="s">
        <v>9</v>
      </c>
      <c r="M7" s="119"/>
      <c r="N7" s="23" t="s">
        <v>185</v>
      </c>
      <c r="O7" s="23" t="s">
        <v>186</v>
      </c>
      <c r="P7" s="23" t="s">
        <v>187</v>
      </c>
      <c r="Q7" s="23" t="s">
        <v>188</v>
      </c>
      <c r="R7" s="23" t="s">
        <v>189</v>
      </c>
    </row>
    <row r="8" spans="1:18" s="4" customFormat="1" ht="18.75">
      <c r="A8" s="7"/>
      <c r="B8" s="65"/>
      <c r="C8" s="121" t="s">
        <v>152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3"/>
    </row>
    <row r="9" spans="1:18" s="4" customFormat="1" ht="92.25" customHeight="1">
      <c r="A9" s="8">
        <v>1</v>
      </c>
      <c r="B9" s="35">
        <v>1</v>
      </c>
      <c r="C9" s="66" t="s">
        <v>10</v>
      </c>
      <c r="D9" s="67" t="s">
        <v>11</v>
      </c>
      <c r="E9" s="68">
        <v>109.9</v>
      </c>
      <c r="F9" s="68">
        <v>115.2</v>
      </c>
      <c r="G9" s="68">
        <v>100.6</v>
      </c>
      <c r="H9" s="68">
        <v>101.3</v>
      </c>
      <c r="I9" s="68">
        <v>93.7</v>
      </c>
      <c r="J9" s="68">
        <v>100.2</v>
      </c>
      <c r="K9" s="68">
        <v>97.5</v>
      </c>
      <c r="L9" s="68">
        <v>94.2</v>
      </c>
      <c r="M9" s="68">
        <v>105.3</v>
      </c>
      <c r="N9" s="68">
        <v>102.1</v>
      </c>
      <c r="O9" s="68">
        <v>102.1</v>
      </c>
      <c r="P9" s="68">
        <v>102.8</v>
      </c>
      <c r="Q9" s="68">
        <v>100</v>
      </c>
      <c r="R9" s="68">
        <v>100</v>
      </c>
    </row>
    <row r="10" spans="1:18" s="4" customFormat="1" ht="36" customHeight="1">
      <c r="A10" s="8">
        <f>+A9+1</f>
        <v>2</v>
      </c>
      <c r="B10" s="35">
        <f>+B9+1</f>
        <v>2</v>
      </c>
      <c r="C10" s="66" t="s">
        <v>12</v>
      </c>
      <c r="D10" s="67" t="s">
        <v>11</v>
      </c>
      <c r="E10" s="40" t="s">
        <v>177</v>
      </c>
      <c r="F10" s="40" t="s">
        <v>177</v>
      </c>
      <c r="G10" s="40" t="s">
        <v>177</v>
      </c>
      <c r="H10" s="40" t="s">
        <v>177</v>
      </c>
      <c r="I10" s="40" t="s">
        <v>177</v>
      </c>
      <c r="J10" s="40" t="s">
        <v>177</v>
      </c>
      <c r="K10" s="40" t="s">
        <v>177</v>
      </c>
      <c r="L10" s="40" t="s">
        <v>177</v>
      </c>
      <c r="M10" s="40">
        <v>1.3</v>
      </c>
      <c r="N10" s="40">
        <v>1.3</v>
      </c>
      <c r="O10" s="40">
        <v>1.3</v>
      </c>
      <c r="P10" s="40">
        <v>1.3</v>
      </c>
      <c r="Q10" s="40">
        <v>1.3</v>
      </c>
      <c r="R10" s="40">
        <v>1.3</v>
      </c>
    </row>
    <row r="11" spans="1:18" s="4" customFormat="1" ht="36" customHeight="1">
      <c r="A11" s="8">
        <f>+A10+1</f>
        <v>3</v>
      </c>
      <c r="B11" s="35">
        <f>+B10+1</f>
        <v>3</v>
      </c>
      <c r="C11" s="66" t="s">
        <v>13</v>
      </c>
      <c r="D11" s="67" t="s">
        <v>14</v>
      </c>
      <c r="E11" s="40">
        <v>17.5</v>
      </c>
      <c r="F11" s="40">
        <v>19</v>
      </c>
      <c r="G11" s="40">
        <v>16.9</v>
      </c>
      <c r="H11" s="40">
        <v>17.2</v>
      </c>
      <c r="I11" s="40">
        <v>17.9</v>
      </c>
      <c r="J11" s="40">
        <v>18.6</v>
      </c>
      <c r="K11" s="40">
        <v>16.13</v>
      </c>
      <c r="L11" s="40">
        <v>12.66</v>
      </c>
      <c r="M11" s="40">
        <v>14.4</v>
      </c>
      <c r="N11" s="40">
        <v>14.5</v>
      </c>
      <c r="O11" s="40">
        <v>14.7</v>
      </c>
      <c r="P11" s="40">
        <v>14.9</v>
      </c>
      <c r="Q11" s="40">
        <v>15</v>
      </c>
      <c r="R11" s="40">
        <v>15</v>
      </c>
    </row>
    <row r="12" spans="1:18" s="4" customFormat="1" ht="129.75" customHeight="1">
      <c r="A12" s="8" t="e">
        <f>+#REF!+1</f>
        <v>#REF!</v>
      </c>
      <c r="B12" s="35">
        <f>+B11+1</f>
        <v>4</v>
      </c>
      <c r="C12" s="66" t="s">
        <v>15</v>
      </c>
      <c r="D12" s="67" t="s">
        <v>11</v>
      </c>
      <c r="E12" s="40">
        <v>104.1</v>
      </c>
      <c r="F12" s="40">
        <v>108.5</v>
      </c>
      <c r="G12" s="40">
        <v>94</v>
      </c>
      <c r="H12" s="40">
        <v>106</v>
      </c>
      <c r="I12" s="40">
        <v>100.5</v>
      </c>
      <c r="J12" s="40">
        <v>110.2</v>
      </c>
      <c r="K12" s="40">
        <v>91.8</v>
      </c>
      <c r="L12" s="40">
        <v>99.8</v>
      </c>
      <c r="M12" s="40">
        <v>103.7</v>
      </c>
      <c r="N12" s="40">
        <v>92.7</v>
      </c>
      <c r="O12" s="40">
        <v>107.1</v>
      </c>
      <c r="P12" s="40">
        <v>99.9</v>
      </c>
      <c r="Q12" s="40">
        <v>100</v>
      </c>
      <c r="R12" s="40">
        <v>100</v>
      </c>
    </row>
    <row r="13" spans="1:18" s="4" customFormat="1" ht="92.25" customHeight="1">
      <c r="A13" s="8" t="e">
        <f aca="true" t="shared" si="0" ref="A13:B19">+A12+1</f>
        <v>#REF!</v>
      </c>
      <c r="B13" s="35">
        <f>+B12+1</f>
        <v>5</v>
      </c>
      <c r="C13" s="66" t="s">
        <v>16</v>
      </c>
      <c r="D13" s="67" t="s">
        <v>11</v>
      </c>
      <c r="E13" s="40">
        <v>97.2</v>
      </c>
      <c r="F13" s="40">
        <v>116.1</v>
      </c>
      <c r="G13" s="40">
        <v>147</v>
      </c>
      <c r="H13" s="40">
        <v>93.4</v>
      </c>
      <c r="I13" s="40">
        <v>106.5</v>
      </c>
      <c r="J13" s="40">
        <v>94</v>
      </c>
      <c r="K13" s="40">
        <v>94.6</v>
      </c>
      <c r="L13" s="40">
        <v>91.2</v>
      </c>
      <c r="M13" s="40">
        <f>1672574.2/1.064/1408806.7*100</f>
        <v>111.58154153317888</v>
      </c>
      <c r="N13" s="40">
        <f>1756428.7/1.06/1672574.2*100</f>
        <v>99.06933919865378</v>
      </c>
      <c r="O13" s="40">
        <f>1849419.7/1.063/1756428.7*100</f>
        <v>99.05392521913357</v>
      </c>
      <c r="P13" s="40">
        <f>1950598.5/1.064/1849419.7*100</f>
        <v>99.12672969349755</v>
      </c>
      <c r="Q13" s="40">
        <f>2058045.2/1.064/1950598.5*100</f>
        <v>99.16202680965853</v>
      </c>
      <c r="R13" s="40">
        <f>2172158.2/1.064/2058045.2*100</f>
        <v>99.19617254612159</v>
      </c>
    </row>
    <row r="14" spans="1:18" s="4" customFormat="1" ht="92.25" customHeight="1">
      <c r="A14" s="8" t="e">
        <f t="shared" si="0"/>
        <v>#REF!</v>
      </c>
      <c r="B14" s="35">
        <f t="shared" si="0"/>
        <v>6</v>
      </c>
      <c r="C14" s="66" t="s">
        <v>17</v>
      </c>
      <c r="D14" s="67" t="s">
        <v>11</v>
      </c>
      <c r="E14" s="40">
        <v>132.1</v>
      </c>
      <c r="F14" s="40">
        <v>158.6</v>
      </c>
      <c r="G14" s="40">
        <v>86.9</v>
      </c>
      <c r="H14" s="40">
        <v>102.3</v>
      </c>
      <c r="I14" s="40">
        <v>113.8</v>
      </c>
      <c r="J14" s="40">
        <v>118.8</v>
      </c>
      <c r="K14" s="40">
        <v>111.8</v>
      </c>
      <c r="L14" s="40">
        <v>88.7</v>
      </c>
      <c r="M14" s="40">
        <f>5452042.8/1.13/4832152.6*100</f>
        <v>99.84818437166373</v>
      </c>
      <c r="N14" s="40">
        <f>5875548.5/1.07/5452042.8*100</f>
        <v>100.71760299515454</v>
      </c>
      <c r="O14" s="40">
        <f>6330315.8/1.062/5875548.5*100</f>
        <v>101.45009169554619</v>
      </c>
      <c r="P14" s="40">
        <f>6736687.9/1.053/6330315.8*100</f>
        <v>101.06311504997913</v>
      </c>
      <c r="Q14" s="40">
        <f>7169146.9/1.053/6736687.9*100</f>
        <v>101.06311512031476</v>
      </c>
      <c r="R14" s="40">
        <f>7629367.4/1.053/7169146.9*100</f>
        <v>101.06311467681721</v>
      </c>
    </row>
    <row r="15" spans="1:19" s="4" customFormat="1" ht="35.25" customHeight="1">
      <c r="A15" s="8" t="e">
        <f t="shared" si="0"/>
        <v>#REF!</v>
      </c>
      <c r="B15" s="35">
        <f t="shared" si="0"/>
        <v>7</v>
      </c>
      <c r="C15" s="66" t="s">
        <v>18</v>
      </c>
      <c r="D15" s="67" t="s">
        <v>11</v>
      </c>
      <c r="E15" s="40">
        <v>13.764534883720929</v>
      </c>
      <c r="F15" s="40">
        <v>15.550984425506906</v>
      </c>
      <c r="G15" s="40">
        <v>17.278443113772457</v>
      </c>
      <c r="H15" s="40">
        <v>18.4</v>
      </c>
      <c r="I15" s="40">
        <v>19.9</v>
      </c>
      <c r="J15" s="40">
        <v>21.1</v>
      </c>
      <c r="K15" s="40">
        <v>21.2</v>
      </c>
      <c r="L15" s="40">
        <v>20.7</v>
      </c>
      <c r="M15" s="40">
        <v>21.2</v>
      </c>
      <c r="N15" s="40">
        <v>21.8</v>
      </c>
      <c r="O15" s="40">
        <v>22.1</v>
      </c>
      <c r="P15" s="40">
        <v>22.3</v>
      </c>
      <c r="Q15" s="40">
        <v>24.4</v>
      </c>
      <c r="R15" s="40">
        <v>22.6</v>
      </c>
      <c r="S15" s="6"/>
    </row>
    <row r="16" spans="1:18" s="4" customFormat="1" ht="54.75" customHeight="1">
      <c r="A16" s="8" t="e">
        <f t="shared" si="0"/>
        <v>#REF!</v>
      </c>
      <c r="B16" s="35">
        <f t="shared" si="0"/>
        <v>8</v>
      </c>
      <c r="C16" s="66" t="s">
        <v>19</v>
      </c>
      <c r="D16" s="67" t="s">
        <v>11</v>
      </c>
      <c r="E16" s="40">
        <v>106.4</v>
      </c>
      <c r="F16" s="40">
        <v>81.6</v>
      </c>
      <c r="G16" s="40">
        <v>83.2</v>
      </c>
      <c r="H16" s="40">
        <v>118.9</v>
      </c>
      <c r="I16" s="40">
        <v>118.4</v>
      </c>
      <c r="J16" s="40">
        <v>105.5</v>
      </c>
      <c r="K16" s="40">
        <v>32.02</v>
      </c>
      <c r="L16" s="40">
        <v>73.4</v>
      </c>
      <c r="M16" s="40">
        <v>129</v>
      </c>
      <c r="N16" s="40">
        <v>122.5</v>
      </c>
      <c r="O16" s="40">
        <v>96.8</v>
      </c>
      <c r="P16" s="40">
        <v>82.3</v>
      </c>
      <c r="Q16" s="40">
        <v>385.2</v>
      </c>
      <c r="R16" s="40">
        <v>78.5</v>
      </c>
    </row>
    <row r="17" spans="1:18" s="4" customFormat="1" ht="57" customHeight="1">
      <c r="A17" s="8" t="e">
        <f t="shared" si="0"/>
        <v>#REF!</v>
      </c>
      <c r="B17" s="35">
        <f t="shared" si="0"/>
        <v>9</v>
      </c>
      <c r="C17" s="66" t="s">
        <v>20</v>
      </c>
      <c r="D17" s="67" t="s">
        <v>11</v>
      </c>
      <c r="E17" s="40">
        <v>1.2</v>
      </c>
      <c r="F17" s="40">
        <v>1.2</v>
      </c>
      <c r="G17" s="40">
        <v>1.4</v>
      </c>
      <c r="H17" s="40">
        <v>1.3</v>
      </c>
      <c r="I17" s="40">
        <v>1.1</v>
      </c>
      <c r="J17" s="40">
        <v>1.1</v>
      </c>
      <c r="K17" s="40">
        <v>1.3</v>
      </c>
      <c r="L17" s="40">
        <v>1.1</v>
      </c>
      <c r="M17" s="40">
        <v>1.2</v>
      </c>
      <c r="N17" s="40">
        <v>1.2</v>
      </c>
      <c r="O17" s="40">
        <v>1.2</v>
      </c>
      <c r="P17" s="40">
        <v>1.1</v>
      </c>
      <c r="Q17" s="40">
        <v>1.1</v>
      </c>
      <c r="R17" s="40">
        <v>1.1</v>
      </c>
    </row>
    <row r="18" spans="1:18" s="4" customFormat="1" ht="75.75" customHeight="1">
      <c r="A18" s="8" t="e">
        <f t="shared" si="0"/>
        <v>#REF!</v>
      </c>
      <c r="B18" s="35">
        <f t="shared" si="0"/>
        <v>10</v>
      </c>
      <c r="C18" s="66" t="s">
        <v>102</v>
      </c>
      <c r="D18" s="67" t="s">
        <v>11</v>
      </c>
      <c r="E18" s="40">
        <v>75.8</v>
      </c>
      <c r="F18" s="40">
        <v>73.2</v>
      </c>
      <c r="G18" s="40">
        <v>72.9</v>
      </c>
      <c r="H18" s="40">
        <v>78.8</v>
      </c>
      <c r="I18" s="40">
        <v>78.2</v>
      </c>
      <c r="J18" s="40">
        <v>81.4</v>
      </c>
      <c r="K18" s="40">
        <v>76</v>
      </c>
      <c r="L18" s="40">
        <v>73</v>
      </c>
      <c r="M18" s="40">
        <v>71</v>
      </c>
      <c r="N18" s="40">
        <v>70</v>
      </c>
      <c r="O18" s="40">
        <v>70</v>
      </c>
      <c r="P18" s="40">
        <v>70</v>
      </c>
      <c r="Q18" s="40">
        <v>70</v>
      </c>
      <c r="R18" s="40">
        <v>70</v>
      </c>
    </row>
    <row r="19" spans="1:18" s="4" customFormat="1" ht="75.75" customHeight="1">
      <c r="A19" s="8" t="e">
        <f t="shared" si="0"/>
        <v>#REF!</v>
      </c>
      <c r="B19" s="35">
        <f t="shared" si="0"/>
        <v>11</v>
      </c>
      <c r="C19" s="66" t="s">
        <v>157</v>
      </c>
      <c r="D19" s="67" t="s">
        <v>21</v>
      </c>
      <c r="E19" s="40">
        <v>3.1</v>
      </c>
      <c r="F19" s="40">
        <v>1.7</v>
      </c>
      <c r="G19" s="40">
        <v>2.6</v>
      </c>
      <c r="H19" s="40">
        <v>3.8</v>
      </c>
      <c r="I19" s="40">
        <v>1.5</v>
      </c>
      <c r="J19" s="40">
        <v>1.5</v>
      </c>
      <c r="K19" s="40">
        <v>0.9</v>
      </c>
      <c r="L19" s="40">
        <v>1.5</v>
      </c>
      <c r="M19" s="40">
        <v>1.5</v>
      </c>
      <c r="N19" s="40">
        <v>1.5</v>
      </c>
      <c r="O19" s="40">
        <v>1.5</v>
      </c>
      <c r="P19" s="40">
        <v>1.5</v>
      </c>
      <c r="Q19" s="40">
        <v>1.5</v>
      </c>
      <c r="R19" s="40">
        <v>1.5</v>
      </c>
    </row>
    <row r="20" spans="1:18" s="38" customFormat="1" ht="21" customHeight="1" hidden="1">
      <c r="A20" s="34"/>
      <c r="B20" s="35"/>
      <c r="C20" s="39" t="s">
        <v>208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4" customFormat="1" ht="18.75" customHeight="1">
      <c r="A21" s="8"/>
      <c r="B21" s="35"/>
      <c r="C21" s="129" t="s">
        <v>22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s="4" customFormat="1" ht="18.75" customHeight="1">
      <c r="A22" s="8"/>
      <c r="B22" s="35"/>
      <c r="C22" s="124" t="s">
        <v>23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</row>
    <row r="23" spans="1:18" s="4" customFormat="1" ht="37.5" customHeight="1">
      <c r="A23" s="8">
        <v>15</v>
      </c>
      <c r="B23" s="35">
        <f>+B19+1</f>
        <v>12</v>
      </c>
      <c r="C23" s="66" t="s">
        <v>24</v>
      </c>
      <c r="D23" s="67" t="s">
        <v>11</v>
      </c>
      <c r="E23" s="69">
        <v>79.3</v>
      </c>
      <c r="F23" s="69">
        <v>89.4</v>
      </c>
      <c r="G23" s="69">
        <v>80.3</v>
      </c>
      <c r="H23" s="69">
        <f aca="true" t="shared" si="1" ref="H23:R23">H24</f>
        <v>80.5</v>
      </c>
      <c r="I23" s="69">
        <f t="shared" si="1"/>
        <v>88.04</v>
      </c>
      <c r="J23" s="69">
        <f t="shared" si="1"/>
        <v>87.3</v>
      </c>
      <c r="K23" s="69">
        <f t="shared" si="1"/>
        <v>90.8</v>
      </c>
      <c r="L23" s="69">
        <f t="shared" si="1"/>
        <v>87.3</v>
      </c>
      <c r="M23" s="69">
        <f t="shared" si="1"/>
        <v>88</v>
      </c>
      <c r="N23" s="69">
        <f t="shared" si="1"/>
        <v>88.3</v>
      </c>
      <c r="O23" s="69">
        <f t="shared" si="1"/>
        <v>88.4</v>
      </c>
      <c r="P23" s="69">
        <f t="shared" si="1"/>
        <v>88.5</v>
      </c>
      <c r="Q23" s="69">
        <f t="shared" si="1"/>
        <v>88.60011312217195</v>
      </c>
      <c r="R23" s="69">
        <f t="shared" si="1"/>
        <v>88.7003394944821</v>
      </c>
    </row>
    <row r="24" spans="1:18" s="29" customFormat="1" ht="48.75" customHeight="1" hidden="1">
      <c r="A24" s="27"/>
      <c r="B24" s="70"/>
      <c r="C24" s="71" t="s">
        <v>207</v>
      </c>
      <c r="D24" s="49"/>
      <c r="E24" s="72"/>
      <c r="F24" s="72"/>
      <c r="G24" s="72"/>
      <c r="H24" s="72">
        <v>80.5</v>
      </c>
      <c r="I24" s="72">
        <v>88.04</v>
      </c>
      <c r="J24" s="72">
        <v>87.3</v>
      </c>
      <c r="K24" s="72">
        <v>90.8</v>
      </c>
      <c r="L24" s="72">
        <v>87.3</v>
      </c>
      <c r="M24" s="72">
        <v>88</v>
      </c>
      <c r="N24" s="72">
        <v>88.3</v>
      </c>
      <c r="O24" s="72">
        <v>88.4</v>
      </c>
      <c r="P24" s="72">
        <v>88.5</v>
      </c>
      <c r="Q24" s="72">
        <f>P24/O24*P24</f>
        <v>88.60011312217195</v>
      </c>
      <c r="R24" s="72">
        <f>Q24/P24*Q24</f>
        <v>88.7003394944821</v>
      </c>
    </row>
    <row r="25" spans="1:18" s="4" customFormat="1" ht="111.75" customHeight="1">
      <c r="A25" s="8">
        <f>+A23+1</f>
        <v>16</v>
      </c>
      <c r="B25" s="35">
        <f>+B23+1</f>
        <v>13</v>
      </c>
      <c r="C25" s="66" t="s">
        <v>25</v>
      </c>
      <c r="D25" s="67" t="s">
        <v>11</v>
      </c>
      <c r="E25" s="40">
        <v>79</v>
      </c>
      <c r="F25" s="40">
        <v>77.4</v>
      </c>
      <c r="G25" s="40">
        <v>90.2</v>
      </c>
      <c r="H25" s="40">
        <v>90.9</v>
      </c>
      <c r="I25" s="40">
        <v>96.3</v>
      </c>
      <c r="J25" s="40">
        <v>98.9</v>
      </c>
      <c r="K25" s="40">
        <v>99.2</v>
      </c>
      <c r="L25" s="40">
        <v>99.6</v>
      </c>
      <c r="M25" s="40">
        <v>99.6</v>
      </c>
      <c r="N25" s="40">
        <v>99.7</v>
      </c>
      <c r="O25" s="40">
        <v>99.75</v>
      </c>
      <c r="P25" s="40">
        <v>99.8</v>
      </c>
      <c r="Q25" s="40">
        <v>99.85</v>
      </c>
      <c r="R25" s="40">
        <v>99.9</v>
      </c>
    </row>
    <row r="26" spans="1:18" s="4" customFormat="1" ht="70.5" customHeight="1" hidden="1">
      <c r="A26" s="8"/>
      <c r="B26" s="35"/>
      <c r="C26" s="73" t="s">
        <v>209</v>
      </c>
      <c r="D26" s="67"/>
      <c r="E26" s="40"/>
      <c r="F26" s="40"/>
      <c r="G26" s="40"/>
      <c r="H26" s="40"/>
      <c r="I26" s="40"/>
      <c r="J26" s="40"/>
      <c r="K26" s="40"/>
      <c r="L26" s="40"/>
      <c r="M26" s="40">
        <v>2628</v>
      </c>
      <c r="N26" s="74">
        <v>3630</v>
      </c>
      <c r="O26" s="74">
        <v>3650</v>
      </c>
      <c r="P26" s="74">
        <v>3675</v>
      </c>
      <c r="Q26" s="74">
        <f>P26/O26*P26</f>
        <v>3700.1712328767126</v>
      </c>
      <c r="R26" s="74">
        <f>Q26/P26*Q26</f>
        <v>3725.51487145806</v>
      </c>
    </row>
    <row r="27" spans="1:18" s="4" customFormat="1" ht="70.5" customHeight="1" hidden="1">
      <c r="A27" s="8"/>
      <c r="B27" s="35"/>
      <c r="C27" s="73" t="s">
        <v>210</v>
      </c>
      <c r="D27" s="67"/>
      <c r="E27" s="40"/>
      <c r="F27" s="40"/>
      <c r="G27" s="40"/>
      <c r="H27" s="40"/>
      <c r="I27" s="40"/>
      <c r="J27" s="40"/>
      <c r="K27" s="40"/>
      <c r="L27" s="40"/>
      <c r="M27" s="40">
        <v>2628</v>
      </c>
      <c r="N27" s="74">
        <v>2630</v>
      </c>
      <c r="O27" s="74">
        <v>2650</v>
      </c>
      <c r="P27" s="74">
        <v>2675</v>
      </c>
      <c r="Q27" s="74">
        <f>P27/O27*P27</f>
        <v>2700.235849056604</v>
      </c>
      <c r="R27" s="74">
        <f>Q27/P27*Q27</f>
        <v>2725.7097721609116</v>
      </c>
    </row>
    <row r="28" spans="1:18" s="4" customFormat="1" ht="57" customHeight="1">
      <c r="A28" s="8">
        <f>+A25+1</f>
        <v>17</v>
      </c>
      <c r="B28" s="35">
        <f>+B25+1</f>
        <v>14</v>
      </c>
      <c r="C28" s="66" t="s">
        <v>26</v>
      </c>
      <c r="D28" s="67" t="s">
        <v>27</v>
      </c>
      <c r="E28" s="52">
        <v>360</v>
      </c>
      <c r="F28" s="52">
        <v>410</v>
      </c>
      <c r="G28" s="52">
        <v>366</v>
      </c>
      <c r="H28" s="52">
        <v>354</v>
      </c>
      <c r="I28" s="52">
        <v>133</v>
      </c>
      <c r="J28" s="52">
        <v>372</v>
      </c>
      <c r="K28" s="52">
        <v>347</v>
      </c>
      <c r="L28" s="52">
        <v>335</v>
      </c>
      <c r="M28" s="52">
        <f aca="true" t="shared" si="2" ref="M28:R28">M29</f>
        <v>348</v>
      </c>
      <c r="N28" s="52">
        <f t="shared" si="2"/>
        <v>344</v>
      </c>
      <c r="O28" s="52">
        <f t="shared" si="2"/>
        <v>350</v>
      </c>
      <c r="P28" s="52">
        <f t="shared" si="2"/>
        <v>350</v>
      </c>
      <c r="Q28" s="52">
        <f t="shared" si="2"/>
        <v>355</v>
      </c>
      <c r="R28" s="52">
        <f t="shared" si="2"/>
        <v>360</v>
      </c>
    </row>
    <row r="29" spans="1:18" s="4" customFormat="1" ht="43.5" customHeight="1" hidden="1">
      <c r="A29" s="8"/>
      <c r="B29" s="35"/>
      <c r="C29" s="73" t="s">
        <v>211</v>
      </c>
      <c r="D29" s="67"/>
      <c r="E29" s="52"/>
      <c r="F29" s="52"/>
      <c r="G29" s="52"/>
      <c r="H29" s="74">
        <v>356</v>
      </c>
      <c r="I29" s="74">
        <v>133</v>
      </c>
      <c r="J29" s="74">
        <v>372</v>
      </c>
      <c r="K29" s="74">
        <v>347</v>
      </c>
      <c r="L29" s="74">
        <v>335</v>
      </c>
      <c r="M29" s="74">
        <v>348</v>
      </c>
      <c r="N29" s="74">
        <v>344</v>
      </c>
      <c r="O29" s="74">
        <v>350</v>
      </c>
      <c r="P29" s="74">
        <v>350</v>
      </c>
      <c r="Q29" s="74">
        <v>355</v>
      </c>
      <c r="R29" s="74">
        <v>360</v>
      </c>
    </row>
    <row r="30" spans="1:18" s="4" customFormat="1" ht="115.5" customHeight="1">
      <c r="A30" s="8">
        <f>+A28+1</f>
        <v>18</v>
      </c>
      <c r="B30" s="35">
        <f>+B28+1</f>
        <v>15</v>
      </c>
      <c r="C30" s="66" t="s">
        <v>247</v>
      </c>
      <c r="D30" s="67" t="s">
        <v>27</v>
      </c>
      <c r="E30" s="75">
        <v>244</v>
      </c>
      <c r="F30" s="75">
        <v>398</v>
      </c>
      <c r="G30" s="75">
        <v>300</v>
      </c>
      <c r="H30" s="75">
        <v>597</v>
      </c>
      <c r="I30" s="75">
        <v>551</v>
      </c>
      <c r="J30" s="75">
        <v>542</v>
      </c>
      <c r="K30" s="75">
        <v>501</v>
      </c>
      <c r="L30" s="75" t="s">
        <v>224</v>
      </c>
      <c r="M30" s="75" t="s">
        <v>224</v>
      </c>
      <c r="N30" s="75" t="s">
        <v>224</v>
      </c>
      <c r="O30" s="75" t="s">
        <v>224</v>
      </c>
      <c r="P30" s="75" t="s">
        <v>224</v>
      </c>
      <c r="Q30" s="75" t="s">
        <v>224</v>
      </c>
      <c r="R30" s="75" t="s">
        <v>224</v>
      </c>
    </row>
    <row r="31" spans="1:18" s="4" customFormat="1" ht="133.5" customHeight="1">
      <c r="A31" s="8">
        <f>+A30+1</f>
        <v>19</v>
      </c>
      <c r="B31" s="35">
        <f>+B30+1</f>
        <v>16</v>
      </c>
      <c r="C31" s="66" t="s">
        <v>29</v>
      </c>
      <c r="D31" s="67" t="s">
        <v>27</v>
      </c>
      <c r="E31" s="75">
        <v>113</v>
      </c>
      <c r="F31" s="75">
        <v>168</v>
      </c>
      <c r="G31" s="75">
        <v>313</v>
      </c>
      <c r="H31" s="75">
        <v>315</v>
      </c>
      <c r="I31" s="75">
        <v>127</v>
      </c>
      <c r="J31" s="75">
        <v>365</v>
      </c>
      <c r="K31" s="75">
        <v>341</v>
      </c>
      <c r="L31" s="75">
        <v>332</v>
      </c>
      <c r="M31" s="75">
        <v>339</v>
      </c>
      <c r="N31" s="75">
        <v>344</v>
      </c>
      <c r="O31" s="75">
        <v>350</v>
      </c>
      <c r="P31" s="75">
        <v>350</v>
      </c>
      <c r="Q31" s="75">
        <v>355</v>
      </c>
      <c r="R31" s="75">
        <v>360</v>
      </c>
    </row>
    <row r="32" spans="1:18" s="4" customFormat="1" ht="97.5" customHeight="1">
      <c r="A32" s="8">
        <f>+A31+1</f>
        <v>20</v>
      </c>
      <c r="B32" s="35">
        <f>+B31+1</f>
        <v>17</v>
      </c>
      <c r="C32" s="66" t="s">
        <v>30</v>
      </c>
      <c r="D32" s="67" t="s">
        <v>11</v>
      </c>
      <c r="E32" s="76">
        <v>80</v>
      </c>
      <c r="F32" s="76">
        <v>95</v>
      </c>
      <c r="G32" s="76">
        <v>94.7</v>
      </c>
      <c r="H32" s="76">
        <f aca="true" t="shared" si="3" ref="H32:R32">H33</f>
        <v>95</v>
      </c>
      <c r="I32" s="76">
        <f t="shared" si="3"/>
        <v>98.81</v>
      </c>
      <c r="J32" s="76">
        <f t="shared" si="3"/>
        <v>98.6</v>
      </c>
      <c r="K32" s="76">
        <f t="shared" si="3"/>
        <v>98.47</v>
      </c>
      <c r="L32" s="76">
        <f t="shared" si="3"/>
        <v>98.55</v>
      </c>
      <c r="M32" s="76">
        <f t="shared" si="3"/>
        <v>99</v>
      </c>
      <c r="N32" s="76">
        <f t="shared" si="3"/>
        <v>99</v>
      </c>
      <c r="O32" s="76">
        <f t="shared" si="3"/>
        <v>99</v>
      </c>
      <c r="P32" s="76">
        <f t="shared" si="3"/>
        <v>99</v>
      </c>
      <c r="Q32" s="76">
        <f t="shared" si="3"/>
        <v>99</v>
      </c>
      <c r="R32" s="76">
        <f t="shared" si="3"/>
        <v>99</v>
      </c>
    </row>
    <row r="33" spans="1:18" s="21" customFormat="1" ht="68.25" customHeight="1" hidden="1">
      <c r="A33" s="15"/>
      <c r="B33" s="47"/>
      <c r="C33" s="73" t="s">
        <v>212</v>
      </c>
      <c r="D33" s="49"/>
      <c r="E33" s="77"/>
      <c r="F33" s="77"/>
      <c r="G33" s="77"/>
      <c r="H33" s="77">
        <v>95</v>
      </c>
      <c r="I33" s="77">
        <v>98.81</v>
      </c>
      <c r="J33" s="77">
        <v>98.6</v>
      </c>
      <c r="K33" s="77">
        <v>98.47</v>
      </c>
      <c r="L33" s="77">
        <v>98.55</v>
      </c>
      <c r="M33" s="77">
        <v>99</v>
      </c>
      <c r="N33" s="77">
        <v>99</v>
      </c>
      <c r="O33" s="77">
        <v>99</v>
      </c>
      <c r="P33" s="77">
        <v>99</v>
      </c>
      <c r="Q33" s="77">
        <v>99</v>
      </c>
      <c r="R33" s="77">
        <v>99</v>
      </c>
    </row>
    <row r="34" spans="1:18" s="9" customFormat="1" ht="38.25" customHeight="1">
      <c r="A34" s="8">
        <f>+A32+1</f>
        <v>21</v>
      </c>
      <c r="B34" s="35">
        <f>+B32+1</f>
        <v>18</v>
      </c>
      <c r="C34" s="78" t="s">
        <v>31</v>
      </c>
      <c r="D34" s="67" t="s">
        <v>27</v>
      </c>
      <c r="E34" s="79">
        <v>238</v>
      </c>
      <c r="F34" s="79">
        <v>255</v>
      </c>
      <c r="G34" s="79">
        <v>313</v>
      </c>
      <c r="H34" s="79">
        <f aca="true" t="shared" si="4" ref="H34:R34">H35</f>
        <v>314</v>
      </c>
      <c r="I34" s="79">
        <f t="shared" si="4"/>
        <v>328</v>
      </c>
      <c r="J34" s="79">
        <f t="shared" si="4"/>
        <v>307</v>
      </c>
      <c r="K34" s="79">
        <f t="shared" si="4"/>
        <v>278</v>
      </c>
      <c r="L34" s="79">
        <f t="shared" si="4"/>
        <v>297</v>
      </c>
      <c r="M34" s="79">
        <f t="shared" si="4"/>
        <v>297</v>
      </c>
      <c r="N34" s="79">
        <f t="shared" si="4"/>
        <v>297</v>
      </c>
      <c r="O34" s="79">
        <f t="shared" si="4"/>
        <v>297</v>
      </c>
      <c r="P34" s="79">
        <f t="shared" si="4"/>
        <v>297</v>
      </c>
      <c r="Q34" s="79">
        <f t="shared" si="4"/>
        <v>297</v>
      </c>
      <c r="R34" s="79">
        <f t="shared" si="4"/>
        <v>297</v>
      </c>
    </row>
    <row r="35" spans="1:18" s="41" customFormat="1" ht="30.75" customHeight="1" hidden="1">
      <c r="A35" s="15"/>
      <c r="B35" s="47"/>
      <c r="C35" s="80" t="s">
        <v>213</v>
      </c>
      <c r="D35" s="49"/>
      <c r="E35" s="81"/>
      <c r="F35" s="81"/>
      <c r="G35" s="81"/>
      <c r="H35" s="81">
        <v>314</v>
      </c>
      <c r="I35" s="81">
        <v>328</v>
      </c>
      <c r="J35" s="81">
        <v>307</v>
      </c>
      <c r="K35" s="81">
        <v>278</v>
      </c>
      <c r="L35" s="81">
        <v>297</v>
      </c>
      <c r="M35" s="81">
        <v>297</v>
      </c>
      <c r="N35" s="81">
        <v>297</v>
      </c>
      <c r="O35" s="81">
        <v>297</v>
      </c>
      <c r="P35" s="81">
        <v>297</v>
      </c>
      <c r="Q35" s="81">
        <v>297</v>
      </c>
      <c r="R35" s="81">
        <v>297</v>
      </c>
    </row>
    <row r="36" spans="1:18" s="9" customFormat="1" ht="75.75" customHeight="1">
      <c r="A36" s="8">
        <f>+A34+1</f>
        <v>22</v>
      </c>
      <c r="B36" s="35">
        <f>+B34+1</f>
        <v>19</v>
      </c>
      <c r="C36" s="66" t="s">
        <v>32</v>
      </c>
      <c r="D36" s="67" t="s">
        <v>11</v>
      </c>
      <c r="E36" s="40">
        <v>84</v>
      </c>
      <c r="F36" s="40">
        <v>84</v>
      </c>
      <c r="G36" s="40">
        <v>74.4</v>
      </c>
      <c r="H36" s="40">
        <v>70.1</v>
      </c>
      <c r="I36" s="40">
        <v>66.8</v>
      </c>
      <c r="J36" s="40">
        <v>68.1</v>
      </c>
      <c r="K36" s="68">
        <v>65</v>
      </c>
      <c r="L36" s="68">
        <v>74.8</v>
      </c>
      <c r="M36" s="68">
        <v>82.75</v>
      </c>
      <c r="N36" s="40">
        <v>82.95</v>
      </c>
      <c r="O36" s="40">
        <v>82.97</v>
      </c>
      <c r="P36" s="68">
        <v>83</v>
      </c>
      <c r="Q36" s="68">
        <v>83</v>
      </c>
      <c r="R36" s="68">
        <v>83</v>
      </c>
    </row>
    <row r="37" spans="1:18" s="6" customFormat="1" ht="91.5" customHeight="1">
      <c r="A37" s="10">
        <f>+A36+1</f>
        <v>23</v>
      </c>
      <c r="B37" s="35">
        <f>+B36+1</f>
        <v>20</v>
      </c>
      <c r="C37" s="66" t="s">
        <v>158</v>
      </c>
      <c r="D37" s="67" t="s">
        <v>11</v>
      </c>
      <c r="E37" s="40">
        <v>68.8</v>
      </c>
      <c r="F37" s="40">
        <v>68.8</v>
      </c>
      <c r="G37" s="40">
        <v>70</v>
      </c>
      <c r="H37" s="40">
        <f aca="true" t="shared" si="5" ref="H37:R37">H38</f>
        <v>100</v>
      </c>
      <c r="I37" s="40">
        <f t="shared" si="5"/>
        <v>100</v>
      </c>
      <c r="J37" s="40">
        <f t="shared" si="5"/>
        <v>100</v>
      </c>
      <c r="K37" s="40">
        <f t="shared" si="5"/>
        <v>100</v>
      </c>
      <c r="L37" s="40">
        <f t="shared" si="5"/>
        <v>100</v>
      </c>
      <c r="M37" s="40">
        <f t="shared" si="5"/>
        <v>100</v>
      </c>
      <c r="N37" s="40">
        <f t="shared" si="5"/>
        <v>100</v>
      </c>
      <c r="O37" s="40">
        <f t="shared" si="5"/>
        <v>100</v>
      </c>
      <c r="P37" s="40">
        <f t="shared" si="5"/>
        <v>100</v>
      </c>
      <c r="Q37" s="40">
        <f t="shared" si="5"/>
        <v>100</v>
      </c>
      <c r="R37" s="40">
        <f t="shared" si="5"/>
        <v>100</v>
      </c>
    </row>
    <row r="38" spans="1:18" s="21" customFormat="1" ht="43.5" customHeight="1" hidden="1">
      <c r="A38" s="15"/>
      <c r="B38" s="47"/>
      <c r="C38" s="73" t="s">
        <v>214</v>
      </c>
      <c r="D38" s="49"/>
      <c r="E38" s="45"/>
      <c r="F38" s="45"/>
      <c r="G38" s="45"/>
      <c r="H38" s="45">
        <v>100</v>
      </c>
      <c r="I38" s="45">
        <v>100</v>
      </c>
      <c r="J38" s="45">
        <v>100</v>
      </c>
      <c r="K38" s="45">
        <v>100</v>
      </c>
      <c r="L38" s="45">
        <v>100</v>
      </c>
      <c r="M38" s="45">
        <v>100</v>
      </c>
      <c r="N38" s="45">
        <v>100</v>
      </c>
      <c r="O38" s="45">
        <v>100</v>
      </c>
      <c r="P38" s="45">
        <v>100</v>
      </c>
      <c r="Q38" s="45">
        <v>100</v>
      </c>
      <c r="R38" s="45">
        <v>100</v>
      </c>
    </row>
    <row r="39" spans="1:18" s="4" customFormat="1" ht="18.75" customHeight="1">
      <c r="A39" s="8" t="e">
        <f>+#REF!+1</f>
        <v>#REF!</v>
      </c>
      <c r="B39" s="35">
        <f>B37+1</f>
        <v>21</v>
      </c>
      <c r="C39" s="66" t="s">
        <v>33</v>
      </c>
      <c r="D39" s="67" t="s">
        <v>27</v>
      </c>
      <c r="E39" s="52">
        <v>12.99</v>
      </c>
      <c r="F39" s="52">
        <v>14.95</v>
      </c>
      <c r="G39" s="52">
        <v>15.17</v>
      </c>
      <c r="H39" s="52">
        <f aca="true" t="shared" si="6" ref="H39:R39">H40</f>
        <v>14.8</v>
      </c>
      <c r="I39" s="52">
        <f t="shared" si="6"/>
        <v>16.75</v>
      </c>
      <c r="J39" s="52">
        <f t="shared" si="6"/>
        <v>17.15</v>
      </c>
      <c r="K39" s="52">
        <f t="shared" si="6"/>
        <v>16.97</v>
      </c>
      <c r="L39" s="52">
        <f t="shared" si="6"/>
        <v>16.85</v>
      </c>
      <c r="M39" s="52">
        <f t="shared" si="6"/>
        <v>16.74</v>
      </c>
      <c r="N39" s="52">
        <f t="shared" si="6"/>
        <v>16.81</v>
      </c>
      <c r="O39" s="52">
        <f t="shared" si="6"/>
        <v>16.88</v>
      </c>
      <c r="P39" s="52">
        <f t="shared" si="6"/>
        <v>16.94</v>
      </c>
      <c r="Q39" s="52">
        <f t="shared" si="6"/>
        <v>16.94</v>
      </c>
      <c r="R39" s="52">
        <f t="shared" si="6"/>
        <v>16.94</v>
      </c>
    </row>
    <row r="40" spans="1:18" s="21" customFormat="1" ht="46.5" customHeight="1" hidden="1">
      <c r="A40" s="15"/>
      <c r="B40" s="47"/>
      <c r="C40" s="73" t="s">
        <v>215</v>
      </c>
      <c r="D40" s="49"/>
      <c r="E40" s="74"/>
      <c r="F40" s="74"/>
      <c r="G40" s="74"/>
      <c r="H40" s="46">
        <v>14.8</v>
      </c>
      <c r="I40" s="46">
        <v>16.75</v>
      </c>
      <c r="J40" s="46">
        <v>17.15</v>
      </c>
      <c r="K40" s="46">
        <v>16.97</v>
      </c>
      <c r="L40" s="46">
        <v>16.85</v>
      </c>
      <c r="M40" s="46">
        <v>16.74</v>
      </c>
      <c r="N40" s="46">
        <v>16.81</v>
      </c>
      <c r="O40" s="46">
        <v>16.88</v>
      </c>
      <c r="P40" s="46">
        <v>16.94</v>
      </c>
      <c r="Q40" s="46">
        <v>16.94</v>
      </c>
      <c r="R40" s="46">
        <v>16.94</v>
      </c>
    </row>
    <row r="41" spans="1:18" s="4" customFormat="1" ht="17.25" customHeight="1">
      <c r="A41" s="8" t="e">
        <f>+A39+1</f>
        <v>#REF!</v>
      </c>
      <c r="B41" s="35">
        <f>+B39+1</f>
        <v>22</v>
      </c>
      <c r="C41" s="66" t="s">
        <v>34</v>
      </c>
      <c r="D41" s="67" t="s">
        <v>27</v>
      </c>
      <c r="E41" s="52">
        <v>24.1</v>
      </c>
      <c r="F41" s="52">
        <v>24.09</v>
      </c>
      <c r="G41" s="52">
        <v>24.83</v>
      </c>
      <c r="H41" s="52">
        <f aca="true" t="shared" si="7" ref="H41:R41">H42</f>
        <v>24.72</v>
      </c>
      <c r="I41" s="52">
        <f t="shared" si="7"/>
        <v>24.81</v>
      </c>
      <c r="J41" s="52">
        <f t="shared" si="7"/>
        <v>24.61</v>
      </c>
      <c r="K41" s="52">
        <f t="shared" si="7"/>
        <v>24.6</v>
      </c>
      <c r="L41" s="52">
        <f t="shared" si="7"/>
        <v>24.25</v>
      </c>
      <c r="M41" s="52">
        <f t="shared" si="7"/>
        <v>24.3</v>
      </c>
      <c r="N41" s="52">
        <f t="shared" si="7"/>
        <v>24.3</v>
      </c>
      <c r="O41" s="52">
        <f t="shared" si="7"/>
        <v>25</v>
      </c>
      <c r="P41" s="52">
        <f t="shared" si="7"/>
        <v>25</v>
      </c>
      <c r="Q41" s="52">
        <f t="shared" si="7"/>
        <v>25</v>
      </c>
      <c r="R41" s="52">
        <f t="shared" si="7"/>
        <v>25</v>
      </c>
    </row>
    <row r="42" spans="1:18" s="21" customFormat="1" ht="56.25" customHeight="1" hidden="1">
      <c r="A42" s="15"/>
      <c r="B42" s="47"/>
      <c r="C42" s="73" t="s">
        <v>216</v>
      </c>
      <c r="D42" s="49"/>
      <c r="E42" s="74"/>
      <c r="F42" s="74"/>
      <c r="G42" s="74"/>
      <c r="H42" s="46">
        <v>24.72</v>
      </c>
      <c r="I42" s="46">
        <v>24.81</v>
      </c>
      <c r="J42" s="46">
        <v>24.61</v>
      </c>
      <c r="K42" s="46">
        <v>24.6</v>
      </c>
      <c r="L42" s="46">
        <v>24.25</v>
      </c>
      <c r="M42" s="46">
        <v>24.3</v>
      </c>
      <c r="N42" s="46">
        <v>24.3</v>
      </c>
      <c r="O42" s="46">
        <v>25</v>
      </c>
      <c r="P42" s="46">
        <v>25</v>
      </c>
      <c r="Q42" s="46">
        <v>25</v>
      </c>
      <c r="R42" s="46">
        <v>25</v>
      </c>
    </row>
    <row r="43" spans="1:18" s="4" customFormat="1" ht="54.75" customHeight="1">
      <c r="A43" s="8" t="e">
        <f>+A41+1</f>
        <v>#REF!</v>
      </c>
      <c r="B43" s="35">
        <f>+B41+1</f>
        <v>23</v>
      </c>
      <c r="C43" s="66" t="s">
        <v>35</v>
      </c>
      <c r="D43" s="67" t="s">
        <v>28</v>
      </c>
      <c r="E43" s="75">
        <v>12</v>
      </c>
      <c r="F43" s="75">
        <v>11</v>
      </c>
      <c r="G43" s="75">
        <v>11</v>
      </c>
      <c r="H43" s="75">
        <f aca="true" t="shared" si="8" ref="H43:R43">H44</f>
        <v>11</v>
      </c>
      <c r="I43" s="75">
        <f t="shared" si="8"/>
        <v>11</v>
      </c>
      <c r="J43" s="75">
        <v>10</v>
      </c>
      <c r="K43" s="75">
        <f t="shared" si="8"/>
        <v>10</v>
      </c>
      <c r="L43" s="75">
        <f t="shared" si="8"/>
        <v>9</v>
      </c>
      <c r="M43" s="75">
        <f t="shared" si="8"/>
        <v>9</v>
      </c>
      <c r="N43" s="75">
        <f t="shared" si="8"/>
        <v>9</v>
      </c>
      <c r="O43" s="75">
        <f t="shared" si="8"/>
        <v>9</v>
      </c>
      <c r="P43" s="75">
        <f t="shared" si="8"/>
        <v>9</v>
      </c>
      <c r="Q43" s="75">
        <f t="shared" si="8"/>
        <v>9</v>
      </c>
      <c r="R43" s="75">
        <f t="shared" si="8"/>
        <v>9</v>
      </c>
    </row>
    <row r="44" spans="1:18" s="29" customFormat="1" ht="75" customHeight="1" hidden="1">
      <c r="A44" s="27"/>
      <c r="B44" s="70"/>
      <c r="C44" s="71" t="s">
        <v>206</v>
      </c>
      <c r="D44" s="49"/>
      <c r="E44" s="49"/>
      <c r="F44" s="49"/>
      <c r="G44" s="49"/>
      <c r="H44" s="49">
        <v>11</v>
      </c>
      <c r="I44" s="49">
        <v>11</v>
      </c>
      <c r="J44" s="49">
        <v>11</v>
      </c>
      <c r="K44" s="49">
        <v>10</v>
      </c>
      <c r="L44" s="49">
        <v>9</v>
      </c>
      <c r="M44" s="49">
        <v>9</v>
      </c>
      <c r="N44" s="49">
        <v>9</v>
      </c>
      <c r="O44" s="49">
        <v>9</v>
      </c>
      <c r="P44" s="49">
        <v>9</v>
      </c>
      <c r="Q44" s="49">
        <v>9</v>
      </c>
      <c r="R44" s="49">
        <v>9</v>
      </c>
    </row>
    <row r="45" spans="1:18" s="4" customFormat="1" ht="102" customHeight="1">
      <c r="A45" s="8" t="e">
        <f>+A43+1</f>
        <v>#REF!</v>
      </c>
      <c r="B45" s="35">
        <f>+B43+1</f>
        <v>24</v>
      </c>
      <c r="C45" s="66" t="s">
        <v>36</v>
      </c>
      <c r="D45" s="67" t="s">
        <v>11</v>
      </c>
      <c r="E45" s="40">
        <v>12</v>
      </c>
      <c r="F45" s="40">
        <v>10.673652694610777</v>
      </c>
      <c r="G45" s="40">
        <v>12.121212121212121</v>
      </c>
      <c r="H45" s="40">
        <v>1.6</v>
      </c>
      <c r="I45" s="40">
        <v>1.6</v>
      </c>
      <c r="J45" s="40">
        <v>2.3</v>
      </c>
      <c r="K45" s="40">
        <v>3.2</v>
      </c>
      <c r="L45" s="40">
        <v>12.3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s="21" customFormat="1" ht="54" customHeight="1" hidden="1">
      <c r="A46" s="15"/>
      <c r="B46" s="47"/>
      <c r="C46" s="73" t="s">
        <v>245</v>
      </c>
      <c r="D46" s="49"/>
      <c r="E46" s="45"/>
      <c r="F46" s="45"/>
      <c r="G46" s="45"/>
      <c r="H46" s="45"/>
      <c r="I46" s="45"/>
      <c r="J46" s="45"/>
      <c r="K46" s="45"/>
      <c r="L46" s="45"/>
      <c r="M46" s="45"/>
      <c r="N46" s="45">
        <v>0</v>
      </c>
      <c r="O46" s="45">
        <v>0</v>
      </c>
      <c r="P46" s="45">
        <v>0</v>
      </c>
      <c r="Q46" s="45">
        <v>0</v>
      </c>
      <c r="R46" s="45">
        <v>0</v>
      </c>
    </row>
    <row r="47" spans="1:18" s="4" customFormat="1" ht="76.5" customHeight="1">
      <c r="A47" s="8" t="e">
        <f>+A45+1</f>
        <v>#REF!</v>
      </c>
      <c r="B47" s="35">
        <f>+B45+1</f>
        <v>25</v>
      </c>
      <c r="C47" s="66" t="s">
        <v>37</v>
      </c>
      <c r="D47" s="67" t="s">
        <v>11</v>
      </c>
      <c r="E47" s="40">
        <v>21.59090909090909</v>
      </c>
      <c r="F47" s="40">
        <v>15.105162523900573</v>
      </c>
      <c r="G47" s="40">
        <v>16.508400292184074</v>
      </c>
      <c r="H47" s="40">
        <v>13</v>
      </c>
      <c r="I47" s="40">
        <v>17.4</v>
      </c>
      <c r="J47" s="40">
        <v>16.7</v>
      </c>
      <c r="K47" s="40">
        <v>13.2</v>
      </c>
      <c r="L47" s="40">
        <v>19.1</v>
      </c>
      <c r="M47" s="40">
        <f aca="true" t="shared" si="9" ref="M47:R47">(M50+M52)*100/(M48+M49+M51)</f>
        <v>20.625</v>
      </c>
      <c r="N47" s="40">
        <f t="shared" si="9"/>
        <v>20.625</v>
      </c>
      <c r="O47" s="40">
        <f t="shared" si="9"/>
        <v>20.66590126291619</v>
      </c>
      <c r="P47" s="40">
        <f t="shared" si="9"/>
        <v>19.596864501679732</v>
      </c>
      <c r="Q47" s="40">
        <f t="shared" si="9"/>
        <v>20.670391061452513</v>
      </c>
      <c r="R47" s="40">
        <f t="shared" si="9"/>
        <v>20.441988950276244</v>
      </c>
    </row>
    <row r="48" spans="1:18" s="21" customFormat="1" ht="20.25" customHeight="1" hidden="1">
      <c r="A48" s="15"/>
      <c r="B48" s="47"/>
      <c r="C48" s="73" t="s">
        <v>233</v>
      </c>
      <c r="D48" s="49"/>
      <c r="E48" s="45"/>
      <c r="F48" s="45"/>
      <c r="G48" s="45"/>
      <c r="H48" s="45"/>
      <c r="I48" s="45"/>
      <c r="J48" s="45"/>
      <c r="K48" s="45"/>
      <c r="L48" s="45"/>
      <c r="M48" s="45">
        <v>454</v>
      </c>
      <c r="N48" s="45">
        <v>454</v>
      </c>
      <c r="O48" s="45">
        <v>483</v>
      </c>
      <c r="P48" s="45">
        <v>503</v>
      </c>
      <c r="Q48" s="45">
        <v>510</v>
      </c>
      <c r="R48" s="45">
        <v>520</v>
      </c>
    </row>
    <row r="49" spans="1:18" s="21" customFormat="1" ht="28.5" customHeight="1" hidden="1">
      <c r="A49" s="15"/>
      <c r="B49" s="47"/>
      <c r="C49" s="73" t="s">
        <v>234</v>
      </c>
      <c r="D49" s="49"/>
      <c r="E49" s="45"/>
      <c r="F49" s="45"/>
      <c r="G49" s="45"/>
      <c r="H49" s="45"/>
      <c r="I49" s="45"/>
      <c r="J49" s="45"/>
      <c r="K49" s="45"/>
      <c r="L49" s="45"/>
      <c r="M49" s="45">
        <v>64</v>
      </c>
      <c r="N49" s="45">
        <v>64</v>
      </c>
      <c r="O49" s="45">
        <v>88</v>
      </c>
      <c r="P49" s="45">
        <v>90</v>
      </c>
      <c r="Q49" s="45">
        <v>85</v>
      </c>
      <c r="R49" s="45">
        <v>85</v>
      </c>
    </row>
    <row r="50" spans="1:18" s="21" customFormat="1" ht="28.5" customHeight="1" hidden="1">
      <c r="A50" s="15"/>
      <c r="B50" s="47"/>
      <c r="C50" s="73" t="s">
        <v>235</v>
      </c>
      <c r="D50" s="49"/>
      <c r="E50" s="45"/>
      <c r="F50" s="45"/>
      <c r="G50" s="45"/>
      <c r="H50" s="45"/>
      <c r="I50" s="45"/>
      <c r="J50" s="45"/>
      <c r="K50" s="45"/>
      <c r="L50" s="45"/>
      <c r="M50" s="45">
        <v>150</v>
      </c>
      <c r="N50" s="45">
        <v>150</v>
      </c>
      <c r="O50" s="45">
        <v>160</v>
      </c>
      <c r="P50" s="45">
        <v>155</v>
      </c>
      <c r="Q50" s="45">
        <v>160</v>
      </c>
      <c r="R50" s="45">
        <v>160</v>
      </c>
    </row>
    <row r="51" spans="1:18" s="21" customFormat="1" ht="27.75" customHeight="1" hidden="1">
      <c r="A51" s="15"/>
      <c r="B51" s="47"/>
      <c r="C51" s="73" t="s">
        <v>236</v>
      </c>
      <c r="D51" s="49"/>
      <c r="E51" s="45"/>
      <c r="F51" s="45"/>
      <c r="G51" s="45"/>
      <c r="H51" s="45"/>
      <c r="I51" s="45"/>
      <c r="J51" s="45"/>
      <c r="K51" s="45"/>
      <c r="L51" s="45"/>
      <c r="M51" s="45">
        <v>282</v>
      </c>
      <c r="N51" s="45">
        <v>282</v>
      </c>
      <c r="O51" s="45">
        <v>300</v>
      </c>
      <c r="P51" s="45">
        <v>300</v>
      </c>
      <c r="Q51" s="45">
        <v>300</v>
      </c>
      <c r="R51" s="45">
        <v>300</v>
      </c>
    </row>
    <row r="52" spans="1:18" s="21" customFormat="1" ht="42" customHeight="1" hidden="1">
      <c r="A52" s="15"/>
      <c r="B52" s="47"/>
      <c r="C52" s="73" t="s">
        <v>237</v>
      </c>
      <c r="D52" s="49"/>
      <c r="E52" s="45"/>
      <c r="F52" s="45"/>
      <c r="G52" s="45"/>
      <c r="H52" s="45"/>
      <c r="I52" s="45"/>
      <c r="J52" s="45"/>
      <c r="K52" s="45"/>
      <c r="L52" s="45"/>
      <c r="M52" s="45">
        <v>15</v>
      </c>
      <c r="N52" s="45">
        <v>15</v>
      </c>
      <c r="O52" s="45">
        <v>20</v>
      </c>
      <c r="P52" s="45">
        <v>20</v>
      </c>
      <c r="Q52" s="45">
        <v>25</v>
      </c>
      <c r="R52" s="45">
        <v>25</v>
      </c>
    </row>
    <row r="53" spans="1:18" s="4" customFormat="1" ht="41.25" customHeight="1">
      <c r="A53" s="8" t="e">
        <f>+A47+1</f>
        <v>#REF!</v>
      </c>
      <c r="B53" s="35">
        <f>+B47+1</f>
        <v>26</v>
      </c>
      <c r="C53" s="66" t="s">
        <v>38</v>
      </c>
      <c r="D53" s="67" t="s">
        <v>11</v>
      </c>
      <c r="E53" s="53">
        <v>0.13833693847779063</v>
      </c>
      <c r="F53" s="53">
        <v>0.07466587023071754</v>
      </c>
      <c r="G53" s="53">
        <v>0.07790124871119258</v>
      </c>
      <c r="H53" s="53">
        <v>0.04</v>
      </c>
      <c r="I53" s="53">
        <v>0.07</v>
      </c>
      <c r="J53" s="53">
        <v>0.06</v>
      </c>
      <c r="K53" s="53">
        <v>0.1</v>
      </c>
      <c r="L53" s="53">
        <v>0.11</v>
      </c>
      <c r="M53" s="53">
        <f aca="true" t="shared" si="10" ref="M53:R53">(M54+M55)*100/(M51+M49+M48)</f>
        <v>0.25</v>
      </c>
      <c r="N53" s="53">
        <f t="shared" si="10"/>
        <v>0.25</v>
      </c>
      <c r="O53" s="53">
        <f t="shared" si="10"/>
        <v>0.2296211251435132</v>
      </c>
      <c r="P53" s="53">
        <f t="shared" si="10"/>
        <v>0.11198208286674133</v>
      </c>
      <c r="Q53" s="53">
        <f t="shared" si="10"/>
        <v>0.11173184357541899</v>
      </c>
      <c r="R53" s="53">
        <f t="shared" si="10"/>
        <v>0.11049723756906077</v>
      </c>
    </row>
    <row r="54" spans="1:18" s="21" customFormat="1" ht="27.75" customHeight="1" hidden="1">
      <c r="A54" s="15"/>
      <c r="B54" s="47"/>
      <c r="C54" s="73" t="s">
        <v>238</v>
      </c>
      <c r="D54" s="49"/>
      <c r="E54" s="46"/>
      <c r="F54" s="46"/>
      <c r="G54" s="46"/>
      <c r="H54" s="46"/>
      <c r="I54" s="46"/>
      <c r="J54" s="46"/>
      <c r="K54" s="46"/>
      <c r="L54" s="46"/>
      <c r="M54" s="46">
        <v>2</v>
      </c>
      <c r="N54" s="46">
        <v>2</v>
      </c>
      <c r="O54" s="46">
        <v>2</v>
      </c>
      <c r="P54" s="46">
        <v>1</v>
      </c>
      <c r="Q54" s="46">
        <v>1</v>
      </c>
      <c r="R54" s="46">
        <v>1</v>
      </c>
    </row>
    <row r="55" spans="1:18" s="21" customFormat="1" ht="27" customHeight="1" hidden="1">
      <c r="A55" s="15"/>
      <c r="B55" s="47"/>
      <c r="C55" s="73" t="s">
        <v>239</v>
      </c>
      <c r="D55" s="49"/>
      <c r="E55" s="46"/>
      <c r="F55" s="46"/>
      <c r="G55" s="46"/>
      <c r="H55" s="46"/>
      <c r="I55" s="46"/>
      <c r="J55" s="46"/>
      <c r="K55" s="46"/>
      <c r="L55" s="46"/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</row>
    <row r="56" spans="1:18" s="4" customFormat="1" ht="58.5" customHeight="1">
      <c r="A56" s="8" t="e">
        <f>+A53+1</f>
        <v>#REF!</v>
      </c>
      <c r="B56" s="35">
        <f>+B53+1</f>
        <v>27</v>
      </c>
      <c r="C56" s="66" t="s">
        <v>39</v>
      </c>
      <c r="D56" s="67" t="s">
        <v>11</v>
      </c>
      <c r="E56" s="40">
        <v>36.74046161092793</v>
      </c>
      <c r="F56" s="40">
        <v>34.29844097995546</v>
      </c>
      <c r="G56" s="40">
        <v>35.499693439607604</v>
      </c>
      <c r="H56" s="40">
        <v>28.36294416243655</v>
      </c>
      <c r="I56" s="40">
        <v>47.8</v>
      </c>
      <c r="J56" s="40">
        <v>44.9</v>
      </c>
      <c r="K56" s="40">
        <v>33.9</v>
      </c>
      <c r="L56" s="40">
        <v>60.4</v>
      </c>
      <c r="M56" s="40">
        <f aca="true" t="shared" si="11" ref="M56:R56">(M57+M58)*100/(M51+M49+M48)</f>
        <v>40.875</v>
      </c>
      <c r="N56" s="40">
        <f t="shared" si="11"/>
        <v>40.875</v>
      </c>
      <c r="O56" s="40">
        <f t="shared" si="11"/>
        <v>42.13547646383467</v>
      </c>
      <c r="P56" s="40">
        <f t="shared" si="11"/>
        <v>44.34490481522956</v>
      </c>
      <c r="Q56" s="40">
        <f t="shared" si="11"/>
        <v>44.46927374301676</v>
      </c>
      <c r="R56" s="40">
        <f t="shared" si="11"/>
        <v>43.97790055248619</v>
      </c>
    </row>
    <row r="57" spans="1:18" s="4" customFormat="1" ht="26.25" customHeight="1" hidden="1">
      <c r="A57" s="8"/>
      <c r="B57" s="35"/>
      <c r="C57" s="73" t="s">
        <v>240</v>
      </c>
      <c r="D57" s="67"/>
      <c r="E57" s="40"/>
      <c r="F57" s="40"/>
      <c r="G57" s="40"/>
      <c r="H57" s="40"/>
      <c r="I57" s="40"/>
      <c r="J57" s="40"/>
      <c r="K57" s="40"/>
      <c r="L57" s="40"/>
      <c r="M57" s="45">
        <v>15</v>
      </c>
      <c r="N57" s="45">
        <v>15</v>
      </c>
      <c r="O57" s="45">
        <v>18</v>
      </c>
      <c r="P57" s="45">
        <v>18</v>
      </c>
      <c r="Q57" s="45">
        <v>20</v>
      </c>
      <c r="R57" s="45">
        <v>20</v>
      </c>
    </row>
    <row r="58" spans="1:18" s="4" customFormat="1" ht="41.25" customHeight="1" hidden="1">
      <c r="A58" s="8"/>
      <c r="B58" s="35"/>
      <c r="C58" s="73" t="s">
        <v>244</v>
      </c>
      <c r="D58" s="67"/>
      <c r="E58" s="40"/>
      <c r="F58" s="40"/>
      <c r="G58" s="40"/>
      <c r="H58" s="40"/>
      <c r="I58" s="40"/>
      <c r="J58" s="40"/>
      <c r="K58" s="40"/>
      <c r="L58" s="40"/>
      <c r="M58" s="45">
        <f>261+51</f>
        <v>312</v>
      </c>
      <c r="N58" s="45">
        <f>261+51</f>
        <v>312</v>
      </c>
      <c r="O58" s="45">
        <f>280+69</f>
        <v>349</v>
      </c>
      <c r="P58" s="45">
        <f>308+70</f>
        <v>378</v>
      </c>
      <c r="Q58" s="45">
        <f>310+68</f>
        <v>378</v>
      </c>
      <c r="R58" s="45">
        <f>310+68</f>
        <v>378</v>
      </c>
    </row>
    <row r="59" spans="1:18" s="4" customFormat="1" ht="74.25" customHeight="1">
      <c r="A59" s="8" t="e">
        <f>+A56+1</f>
        <v>#REF!</v>
      </c>
      <c r="B59" s="35">
        <f>+B56+1</f>
        <v>28</v>
      </c>
      <c r="C59" s="66" t="s">
        <v>40</v>
      </c>
      <c r="D59" s="67" t="s">
        <v>11</v>
      </c>
      <c r="E59" s="40">
        <v>4.616109279321715</v>
      </c>
      <c r="F59" s="40">
        <v>7.349665924276169</v>
      </c>
      <c r="G59" s="40">
        <v>8.461066830165542</v>
      </c>
      <c r="H59" s="40">
        <v>9.200507614213198</v>
      </c>
      <c r="I59" s="40">
        <v>12.5</v>
      </c>
      <c r="J59" s="40">
        <v>11.3</v>
      </c>
      <c r="K59" s="40">
        <v>11.6</v>
      </c>
      <c r="L59" s="40">
        <v>12.9</v>
      </c>
      <c r="M59" s="40">
        <f aca="true" t="shared" si="12" ref="M59:R59">(M60+M61)*100/(M48+M49+M51)</f>
        <v>11.25</v>
      </c>
      <c r="N59" s="40">
        <f t="shared" si="12"/>
        <v>11.25</v>
      </c>
      <c r="O59" s="40">
        <f t="shared" si="12"/>
        <v>10.792192881745121</v>
      </c>
      <c r="P59" s="40">
        <f t="shared" si="12"/>
        <v>10.862262038073908</v>
      </c>
      <c r="Q59" s="40">
        <f t="shared" si="12"/>
        <v>10.279329608938548</v>
      </c>
      <c r="R59" s="40">
        <f t="shared" si="12"/>
        <v>9.834254143646408</v>
      </c>
    </row>
    <row r="60" spans="1:18" s="4" customFormat="1" ht="39.75" customHeight="1" hidden="1">
      <c r="A60" s="8"/>
      <c r="B60" s="35"/>
      <c r="C60" s="73" t="s">
        <v>242</v>
      </c>
      <c r="D60" s="67"/>
      <c r="E60" s="40"/>
      <c r="F60" s="40"/>
      <c r="G60" s="40"/>
      <c r="H60" s="40"/>
      <c r="I60" s="40"/>
      <c r="J60" s="40"/>
      <c r="K60" s="40"/>
      <c r="L60" s="40"/>
      <c r="M60" s="45">
        <v>10</v>
      </c>
      <c r="N60" s="45">
        <v>10</v>
      </c>
      <c r="O60" s="45">
        <v>9</v>
      </c>
      <c r="P60" s="45">
        <v>9</v>
      </c>
      <c r="Q60" s="45">
        <v>8</v>
      </c>
      <c r="R60" s="45">
        <v>8</v>
      </c>
    </row>
    <row r="61" spans="1:18" s="4" customFormat="1" ht="51.75" customHeight="1" hidden="1">
      <c r="A61" s="8"/>
      <c r="B61" s="35"/>
      <c r="C61" s="73" t="s">
        <v>243</v>
      </c>
      <c r="D61" s="67"/>
      <c r="E61" s="40"/>
      <c r="F61" s="40"/>
      <c r="G61" s="40"/>
      <c r="H61" s="40"/>
      <c r="I61" s="40"/>
      <c r="J61" s="40"/>
      <c r="K61" s="40"/>
      <c r="L61" s="40"/>
      <c r="M61" s="45">
        <f>56+24</f>
        <v>80</v>
      </c>
      <c r="N61" s="45">
        <f>56+24</f>
        <v>80</v>
      </c>
      <c r="O61" s="45">
        <f>64+21</f>
        <v>85</v>
      </c>
      <c r="P61" s="45">
        <f>65+23</f>
        <v>88</v>
      </c>
      <c r="Q61" s="45">
        <f>63+21</f>
        <v>84</v>
      </c>
      <c r="R61" s="45">
        <f>61+20</f>
        <v>81</v>
      </c>
    </row>
    <row r="62" spans="1:18" s="29" customFormat="1" ht="21.75" customHeight="1" hidden="1">
      <c r="A62" s="27"/>
      <c r="B62" s="82"/>
      <c r="C62" s="127" t="s">
        <v>241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  <row r="63" spans="1:18" s="4" customFormat="1" ht="19.5" customHeight="1">
      <c r="A63" s="8"/>
      <c r="B63" s="83"/>
      <c r="C63" s="114" t="s">
        <v>41</v>
      </c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20"/>
    </row>
    <row r="64" spans="1:18" s="4" customFormat="1" ht="75.75" customHeight="1">
      <c r="A64" s="8">
        <v>32</v>
      </c>
      <c r="B64" s="35">
        <f>+B59+1</f>
        <v>29</v>
      </c>
      <c r="C64" s="66" t="s">
        <v>137</v>
      </c>
      <c r="D64" s="67" t="s">
        <v>11</v>
      </c>
      <c r="E64" s="40">
        <v>178.5</v>
      </c>
      <c r="F64" s="40">
        <v>127.5</v>
      </c>
      <c r="G64" s="40">
        <v>98.9</v>
      </c>
      <c r="H64" s="76">
        <v>182.9</v>
      </c>
      <c r="I64" s="76">
        <v>135.6</v>
      </c>
      <c r="J64" s="76">
        <v>210.5</v>
      </c>
      <c r="K64" s="76">
        <v>229.4</v>
      </c>
      <c r="L64" s="76">
        <v>242.3</v>
      </c>
      <c r="M64" s="76">
        <v>232.7</v>
      </c>
      <c r="N64" s="76">
        <f>+N65/N5*100</f>
        <v>236.17231121645483</v>
      </c>
      <c r="O64" s="76">
        <f>+O65/O5*100</f>
        <v>237.51834833109965</v>
      </c>
      <c r="P64" s="76">
        <f>+P65/P5*100</f>
        <v>238.1484794275492</v>
      </c>
      <c r="Q64" s="76">
        <f>+Q65/Q5*100</f>
        <v>238.54763767583708</v>
      </c>
      <c r="R64" s="76">
        <f>+R65/R5*100</f>
        <v>239.02540143192002</v>
      </c>
    </row>
    <row r="65" spans="1:18" s="12" customFormat="1" ht="67.5" customHeight="1" hidden="1">
      <c r="A65" s="11"/>
      <c r="B65" s="85"/>
      <c r="C65" s="86" t="s">
        <v>246</v>
      </c>
      <c r="D65" s="87"/>
      <c r="E65" s="88"/>
      <c r="F65" s="88"/>
      <c r="G65" s="88"/>
      <c r="H65" s="89">
        <v>120918</v>
      </c>
      <c r="I65" s="89">
        <v>123900</v>
      </c>
      <c r="J65" s="89">
        <v>124100</v>
      </c>
      <c r="K65" s="89">
        <v>124267</v>
      </c>
      <c r="L65" s="89">
        <v>124440</v>
      </c>
      <c r="M65" s="88">
        <f>98465+50000</f>
        <v>148465</v>
      </c>
      <c r="N65" s="88">
        <f>98465+50000</f>
        <v>148465</v>
      </c>
      <c r="O65" s="89">
        <f>98767+50100</f>
        <v>148867</v>
      </c>
      <c r="P65" s="89">
        <f>98900+50200</f>
        <v>149100</v>
      </c>
      <c r="Q65" s="89">
        <f>98900+50500</f>
        <v>149400</v>
      </c>
      <c r="R65" s="88">
        <f>98900+51000</f>
        <v>149900</v>
      </c>
    </row>
    <row r="66" spans="1:18" s="4" customFormat="1" ht="57" customHeight="1">
      <c r="A66" s="8"/>
      <c r="B66" s="35">
        <f>+B64+1</f>
        <v>30</v>
      </c>
      <c r="C66" s="66" t="s">
        <v>115</v>
      </c>
      <c r="D66" s="67" t="s">
        <v>21</v>
      </c>
      <c r="E66" s="52">
        <v>16</v>
      </c>
      <c r="F66" s="52">
        <v>16</v>
      </c>
      <c r="G66" s="52">
        <v>16</v>
      </c>
      <c r="H66" s="52">
        <v>55</v>
      </c>
      <c r="I66" s="52">
        <v>57</v>
      </c>
      <c r="J66" s="52">
        <v>58</v>
      </c>
      <c r="K66" s="52">
        <v>63</v>
      </c>
      <c r="L66" s="52">
        <v>52</v>
      </c>
      <c r="M66" s="52">
        <v>52</v>
      </c>
      <c r="N66" s="52">
        <v>52</v>
      </c>
      <c r="O66" s="52">
        <v>52</v>
      </c>
      <c r="P66" s="52">
        <v>52</v>
      </c>
      <c r="Q66" s="52">
        <v>52</v>
      </c>
      <c r="R66" s="52">
        <v>52</v>
      </c>
    </row>
    <row r="67" spans="1:18" s="4" customFormat="1" ht="38.25" customHeight="1">
      <c r="A67" s="8"/>
      <c r="B67" s="35">
        <f>B66+1</f>
        <v>31</v>
      </c>
      <c r="C67" s="66" t="s">
        <v>116</v>
      </c>
      <c r="D67" s="67" t="s">
        <v>21</v>
      </c>
      <c r="E67" s="52">
        <v>17892</v>
      </c>
      <c r="F67" s="52">
        <v>13983</v>
      </c>
      <c r="G67" s="52">
        <v>11787</v>
      </c>
      <c r="H67" s="52">
        <v>10542</v>
      </c>
      <c r="I67" s="52">
        <v>14025</v>
      </c>
      <c r="J67" s="52">
        <v>13570</v>
      </c>
      <c r="K67" s="52">
        <v>13236</v>
      </c>
      <c r="L67" s="52">
        <v>12616</v>
      </c>
      <c r="M67" s="52">
        <v>11600</v>
      </c>
      <c r="N67" s="52">
        <v>11600</v>
      </c>
      <c r="O67" s="52">
        <v>11600</v>
      </c>
      <c r="P67" s="52">
        <v>11600</v>
      </c>
      <c r="Q67" s="52">
        <v>11600</v>
      </c>
      <c r="R67" s="52">
        <v>11600</v>
      </c>
    </row>
    <row r="68" spans="1:18" s="4" customFormat="1" ht="18.75" customHeight="1">
      <c r="A68" s="8"/>
      <c r="B68" s="35">
        <f>B67+1</f>
        <v>32</v>
      </c>
      <c r="C68" s="66" t="s">
        <v>117</v>
      </c>
      <c r="D68" s="67" t="s">
        <v>27</v>
      </c>
      <c r="E68" s="52">
        <v>272440</v>
      </c>
      <c r="F68" s="52">
        <v>263642</v>
      </c>
      <c r="G68" s="52">
        <v>250158</v>
      </c>
      <c r="H68" s="52">
        <v>257006</v>
      </c>
      <c r="I68" s="52">
        <v>258800</v>
      </c>
      <c r="J68" s="52">
        <v>261900</v>
      </c>
      <c r="K68" s="52">
        <v>262180</v>
      </c>
      <c r="L68" s="52">
        <v>262480</v>
      </c>
      <c r="M68" s="52">
        <v>262480</v>
      </c>
      <c r="N68" s="52">
        <v>262500</v>
      </c>
      <c r="O68" s="52">
        <v>262700</v>
      </c>
      <c r="P68" s="52">
        <v>262900</v>
      </c>
      <c r="Q68" s="52">
        <v>262980</v>
      </c>
      <c r="R68" s="52">
        <v>263330</v>
      </c>
    </row>
    <row r="69" spans="1:18" s="4" customFormat="1" ht="37.5" customHeight="1">
      <c r="A69" s="8"/>
      <c r="B69" s="35">
        <f aca="true" t="shared" si="13" ref="B69:B82">+B68+1</f>
        <v>33</v>
      </c>
      <c r="C69" s="66" t="s">
        <v>118</v>
      </c>
      <c r="D69" s="67" t="s">
        <v>27</v>
      </c>
      <c r="E69" s="52">
        <v>3974</v>
      </c>
      <c r="F69" s="52">
        <v>3847</v>
      </c>
      <c r="G69" s="52">
        <v>3654</v>
      </c>
      <c r="H69" s="52">
        <v>3888</v>
      </c>
      <c r="I69" s="52">
        <f>+I68/I5*1000</f>
        <v>3931.9953205001593</v>
      </c>
      <c r="J69" s="52">
        <f>+J68/J5*1000</f>
        <v>4008.5098567405407</v>
      </c>
      <c r="K69" s="52">
        <f>+K68/K5*1000</f>
        <v>4052.303745034699</v>
      </c>
      <c r="L69" s="52">
        <f>+L68/L5*1000</f>
        <v>4109.9193611524315</v>
      </c>
      <c r="M69" s="52">
        <f>+M68/M5*1000</f>
        <v>4153.953282268785</v>
      </c>
      <c r="N69" s="52">
        <v>4176</v>
      </c>
      <c r="O69" s="52">
        <v>4191</v>
      </c>
      <c r="P69" s="52">
        <v>4199</v>
      </c>
      <c r="Q69" s="52">
        <v>4198</v>
      </c>
      <c r="R69" s="52">
        <v>4192</v>
      </c>
    </row>
    <row r="70" spans="1:18" s="4" customFormat="1" ht="38.25" customHeight="1">
      <c r="A70" s="8">
        <v>35</v>
      </c>
      <c r="B70" s="35">
        <f>+B69+1</f>
        <v>34</v>
      </c>
      <c r="C70" s="66" t="s">
        <v>42</v>
      </c>
      <c r="D70" s="67" t="s">
        <v>11</v>
      </c>
      <c r="E70" s="40">
        <v>9.500482958465572</v>
      </c>
      <c r="F70" s="40">
        <v>13.49767629824207</v>
      </c>
      <c r="G70" s="40">
        <v>14.999663231629285</v>
      </c>
      <c r="H70" s="40">
        <v>17.1</v>
      </c>
      <c r="I70" s="40">
        <v>13.7</v>
      </c>
      <c r="J70" s="40">
        <v>18.2</v>
      </c>
      <c r="K70" s="40">
        <v>19.3</v>
      </c>
      <c r="L70" s="40">
        <v>21.4</v>
      </c>
      <c r="M70" s="40">
        <v>19.3</v>
      </c>
      <c r="N70" s="40">
        <v>19.3</v>
      </c>
      <c r="O70" s="40">
        <v>19.3</v>
      </c>
      <c r="P70" s="40">
        <v>19.3</v>
      </c>
      <c r="Q70" s="40">
        <v>19.3</v>
      </c>
      <c r="R70" s="40">
        <v>19.3</v>
      </c>
    </row>
    <row r="71" spans="1:18" s="4" customFormat="1" ht="18.75" customHeight="1">
      <c r="A71" s="8"/>
      <c r="B71" s="35">
        <f t="shared" si="13"/>
        <v>35</v>
      </c>
      <c r="C71" s="66" t="s">
        <v>119</v>
      </c>
      <c r="D71" s="67" t="s">
        <v>21</v>
      </c>
      <c r="E71" s="75">
        <v>14494</v>
      </c>
      <c r="F71" s="75">
        <v>14847</v>
      </c>
      <c r="G71" s="75">
        <v>14847</v>
      </c>
      <c r="H71" s="75">
        <v>16583</v>
      </c>
      <c r="I71" s="75">
        <v>16583</v>
      </c>
      <c r="J71" s="75">
        <v>17306</v>
      </c>
      <c r="K71" s="75">
        <v>17367</v>
      </c>
      <c r="L71" s="75">
        <v>18007</v>
      </c>
      <c r="M71" s="75">
        <v>18017</v>
      </c>
      <c r="N71" s="75">
        <v>18027</v>
      </c>
      <c r="O71" s="75">
        <v>18037</v>
      </c>
      <c r="P71" s="75">
        <v>18047</v>
      </c>
      <c r="Q71" s="75">
        <v>18047</v>
      </c>
      <c r="R71" s="75">
        <v>18047</v>
      </c>
    </row>
    <row r="72" spans="1:18" s="4" customFormat="1" ht="60" customHeight="1">
      <c r="A72" s="8"/>
      <c r="B72" s="35">
        <f>+B71+1</f>
        <v>36</v>
      </c>
      <c r="C72" s="66" t="s">
        <v>121</v>
      </c>
      <c r="D72" s="67" t="s">
        <v>21</v>
      </c>
      <c r="E72" s="40" t="s">
        <v>124</v>
      </c>
      <c r="F72" s="40" t="s">
        <v>124</v>
      </c>
      <c r="G72" s="40" t="s">
        <v>124</v>
      </c>
      <c r="H72" s="40" t="s">
        <v>124</v>
      </c>
      <c r="I72" s="40" t="s">
        <v>124</v>
      </c>
      <c r="J72" s="40" t="s">
        <v>124</v>
      </c>
      <c r="K72" s="40" t="s">
        <v>124</v>
      </c>
      <c r="L72" s="40" t="s">
        <v>124</v>
      </c>
      <c r="M72" s="40" t="s">
        <v>124</v>
      </c>
      <c r="N72" s="40" t="s">
        <v>124</v>
      </c>
      <c r="O72" s="40" t="s">
        <v>124</v>
      </c>
      <c r="P72" s="40" t="s">
        <v>124</v>
      </c>
      <c r="Q72" s="40" t="s">
        <v>124</v>
      </c>
      <c r="R72" s="40" t="s">
        <v>124</v>
      </c>
    </row>
    <row r="73" spans="1:18" s="4" customFormat="1" ht="37.5" customHeight="1">
      <c r="A73" s="8">
        <f>+A70+1</f>
        <v>36</v>
      </c>
      <c r="B73" s="35">
        <f>+B72+1</f>
        <v>37</v>
      </c>
      <c r="C73" s="66" t="s">
        <v>138</v>
      </c>
      <c r="D73" s="67" t="s">
        <v>27</v>
      </c>
      <c r="E73" s="52">
        <v>314</v>
      </c>
      <c r="F73" s="52">
        <v>305</v>
      </c>
      <c r="G73" s="52">
        <v>298</v>
      </c>
      <c r="H73" s="52">
        <f aca="true" t="shared" si="14" ref="H73:M73">+H74/H5*1000</f>
        <v>329.7434656340755</v>
      </c>
      <c r="I73" s="52">
        <f t="shared" si="14"/>
        <v>224.60079916133637</v>
      </c>
      <c r="J73" s="52">
        <f t="shared" si="14"/>
        <v>161.31994612464797</v>
      </c>
      <c r="K73" s="52">
        <f t="shared" si="14"/>
        <v>219.47788992101889</v>
      </c>
      <c r="L73" s="52">
        <f t="shared" si="14"/>
        <v>305.33155875675254</v>
      </c>
      <c r="M73" s="52">
        <f t="shared" si="14"/>
        <v>238.96942457428625</v>
      </c>
      <c r="N73" s="52">
        <v>255</v>
      </c>
      <c r="O73" s="52">
        <v>260</v>
      </c>
      <c r="P73" s="52">
        <v>260</v>
      </c>
      <c r="Q73" s="52">
        <v>260</v>
      </c>
      <c r="R73" s="52">
        <v>260</v>
      </c>
    </row>
    <row r="74" spans="1:18" s="4" customFormat="1" ht="18.75" customHeight="1">
      <c r="A74" s="8"/>
      <c r="B74" s="35">
        <f>+B73+1</f>
        <v>38</v>
      </c>
      <c r="C74" s="66" t="s">
        <v>120</v>
      </c>
      <c r="D74" s="67" t="s">
        <v>27</v>
      </c>
      <c r="E74" s="52">
        <v>21500</v>
      </c>
      <c r="F74" s="52">
        <v>20900</v>
      </c>
      <c r="G74" s="52">
        <v>20400</v>
      </c>
      <c r="H74" s="52">
        <v>21800</v>
      </c>
      <c r="I74" s="52">
        <v>14783</v>
      </c>
      <c r="J74" s="52">
        <v>10540</v>
      </c>
      <c r="K74" s="52">
        <v>14200</v>
      </c>
      <c r="L74" s="52">
        <v>19500</v>
      </c>
      <c r="M74" s="52">
        <v>15100</v>
      </c>
      <c r="N74" s="52">
        <v>16000</v>
      </c>
      <c r="O74" s="52">
        <v>16300</v>
      </c>
      <c r="P74" s="52">
        <v>16300</v>
      </c>
      <c r="Q74" s="52">
        <v>16300</v>
      </c>
      <c r="R74" s="52">
        <v>16300</v>
      </c>
    </row>
    <row r="75" spans="1:18" s="4" customFormat="1" ht="42" customHeight="1">
      <c r="A75" s="8"/>
      <c r="B75" s="35">
        <f>+B74+1</f>
        <v>39</v>
      </c>
      <c r="C75" s="66" t="s">
        <v>122</v>
      </c>
      <c r="D75" s="67" t="s">
        <v>27</v>
      </c>
      <c r="E75" s="52">
        <v>602</v>
      </c>
      <c r="F75" s="52">
        <v>585</v>
      </c>
      <c r="G75" s="52">
        <v>583</v>
      </c>
      <c r="H75" s="52">
        <v>586</v>
      </c>
      <c r="I75" s="52">
        <v>586</v>
      </c>
      <c r="J75" s="52">
        <v>583</v>
      </c>
      <c r="K75" s="52">
        <v>530</v>
      </c>
      <c r="L75" s="52">
        <v>530</v>
      </c>
      <c r="M75" s="52">
        <v>535</v>
      </c>
      <c r="N75" s="52">
        <v>535</v>
      </c>
      <c r="O75" s="52">
        <v>530</v>
      </c>
      <c r="P75" s="52">
        <v>530</v>
      </c>
      <c r="Q75" s="52">
        <v>530</v>
      </c>
      <c r="R75" s="52">
        <v>530</v>
      </c>
    </row>
    <row r="76" spans="1:18" s="4" customFormat="1" ht="57" customHeight="1">
      <c r="A76" s="8"/>
      <c r="B76" s="35">
        <f t="shared" si="13"/>
        <v>40</v>
      </c>
      <c r="C76" s="66" t="s">
        <v>160</v>
      </c>
      <c r="D76" s="67" t="s">
        <v>27</v>
      </c>
      <c r="E76" s="52">
        <v>4</v>
      </c>
      <c r="F76" s="52">
        <v>8</v>
      </c>
      <c r="G76" s="52">
        <v>12</v>
      </c>
      <c r="H76" s="52">
        <v>5</v>
      </c>
      <c r="I76" s="52">
        <v>16</v>
      </c>
      <c r="J76" s="52">
        <v>17</v>
      </c>
      <c r="K76" s="52">
        <v>92</v>
      </c>
      <c r="L76" s="52">
        <v>90</v>
      </c>
      <c r="M76" s="52">
        <v>53</v>
      </c>
      <c r="N76" s="52">
        <v>43</v>
      </c>
      <c r="O76" s="52">
        <v>43</v>
      </c>
      <c r="P76" s="52">
        <v>44</v>
      </c>
      <c r="Q76" s="52">
        <v>44</v>
      </c>
      <c r="R76" s="52">
        <v>45</v>
      </c>
    </row>
    <row r="77" spans="1:18" s="4" customFormat="1" ht="54.75" customHeight="1">
      <c r="A77" s="8"/>
      <c r="B77" s="35">
        <f t="shared" si="13"/>
        <v>41</v>
      </c>
      <c r="C77" s="66" t="s">
        <v>161</v>
      </c>
      <c r="D77" s="67" t="s">
        <v>11</v>
      </c>
      <c r="E77" s="40">
        <f>+E88/E75*100</f>
        <v>2.4916943521594686</v>
      </c>
      <c r="F77" s="40">
        <f>+F88/F75*100</f>
        <v>0.8547008547008548</v>
      </c>
      <c r="G77" s="40">
        <f>+G88/G75*100</f>
        <v>0.8576329331046313</v>
      </c>
      <c r="H77" s="40">
        <f>+H88/H75*100</f>
        <v>4.436860068259386</v>
      </c>
      <c r="I77" s="40">
        <v>4.3</v>
      </c>
      <c r="J77" s="40">
        <v>1.5</v>
      </c>
      <c r="K77" s="40">
        <v>1.5</v>
      </c>
      <c r="L77" s="40">
        <v>4.9</v>
      </c>
      <c r="M77" s="40">
        <v>5.6</v>
      </c>
      <c r="N77" s="40">
        <v>4.7</v>
      </c>
      <c r="O77" s="40">
        <v>4.7</v>
      </c>
      <c r="P77" s="40">
        <v>4.7</v>
      </c>
      <c r="Q77" s="40">
        <v>4.7</v>
      </c>
      <c r="R77" s="40">
        <v>4.7</v>
      </c>
    </row>
    <row r="78" spans="1:18" s="4" customFormat="1" ht="95.25" customHeight="1">
      <c r="A78" s="8"/>
      <c r="B78" s="35">
        <f>+B77+1</f>
        <v>42</v>
      </c>
      <c r="C78" s="66" t="s">
        <v>162</v>
      </c>
      <c r="D78" s="67" t="s">
        <v>11</v>
      </c>
      <c r="E78" s="40">
        <f>+E91/E94*100</f>
        <v>12.5</v>
      </c>
      <c r="F78" s="40">
        <f>+F91/F94*100</f>
        <v>13.333333333333334</v>
      </c>
      <c r="G78" s="40">
        <f>+G91/G94*100</f>
        <v>5</v>
      </c>
      <c r="H78" s="40">
        <f>+H91/H94*100</f>
        <v>9.67741935483871</v>
      </c>
      <c r="I78" s="40">
        <f>+I91/I94*100</f>
        <v>10.204081632653061</v>
      </c>
      <c r="J78" s="40">
        <v>10.6</v>
      </c>
      <c r="K78" s="40">
        <v>10.6</v>
      </c>
      <c r="L78" s="40">
        <v>19.4</v>
      </c>
      <c r="M78" s="40">
        <v>14</v>
      </c>
      <c r="N78" s="40">
        <v>19.4</v>
      </c>
      <c r="O78" s="40">
        <v>19.4</v>
      </c>
      <c r="P78" s="40">
        <v>19.4</v>
      </c>
      <c r="Q78" s="40">
        <v>19.4</v>
      </c>
      <c r="R78" s="40">
        <v>19.4</v>
      </c>
    </row>
    <row r="79" spans="1:18" s="4" customFormat="1" ht="36.75" customHeight="1">
      <c r="A79" s="8"/>
      <c r="B79" s="35">
        <f>+B78+1</f>
        <v>43</v>
      </c>
      <c r="C79" s="66" t="s">
        <v>123</v>
      </c>
      <c r="D79" s="67" t="s">
        <v>27</v>
      </c>
      <c r="E79" s="52">
        <v>371</v>
      </c>
      <c r="F79" s="52">
        <v>400</v>
      </c>
      <c r="G79" s="52">
        <v>400</v>
      </c>
      <c r="H79" s="52">
        <v>400</v>
      </c>
      <c r="I79" s="52">
        <v>400</v>
      </c>
      <c r="J79" s="52">
        <v>400</v>
      </c>
      <c r="K79" s="52">
        <v>409</v>
      </c>
      <c r="L79" s="52">
        <v>400</v>
      </c>
      <c r="M79" s="52">
        <v>400</v>
      </c>
      <c r="N79" s="52">
        <v>400</v>
      </c>
      <c r="O79" s="52">
        <v>400</v>
      </c>
      <c r="P79" s="52">
        <v>400</v>
      </c>
      <c r="Q79" s="52">
        <v>400</v>
      </c>
      <c r="R79" s="52">
        <v>400</v>
      </c>
    </row>
    <row r="80" spans="1:18" s="4" customFormat="1" ht="57" customHeight="1">
      <c r="A80" s="8"/>
      <c r="B80" s="35">
        <f t="shared" si="13"/>
        <v>44</v>
      </c>
      <c r="C80" s="66" t="s">
        <v>159</v>
      </c>
      <c r="D80" s="67" t="s">
        <v>27</v>
      </c>
      <c r="E80" s="52">
        <v>40</v>
      </c>
      <c r="F80" s="52">
        <v>36</v>
      </c>
      <c r="G80" s="52">
        <v>39</v>
      </c>
      <c r="H80" s="52">
        <v>39</v>
      </c>
      <c r="I80" s="52">
        <v>43</v>
      </c>
      <c r="J80" s="52">
        <v>61</v>
      </c>
      <c r="K80" s="52">
        <v>67</v>
      </c>
      <c r="L80" s="52">
        <v>73</v>
      </c>
      <c r="M80" s="52">
        <v>102</v>
      </c>
      <c r="N80" s="52">
        <v>88</v>
      </c>
      <c r="O80" s="52">
        <v>88</v>
      </c>
      <c r="P80" s="52">
        <v>88</v>
      </c>
      <c r="Q80" s="52">
        <v>90</v>
      </c>
      <c r="R80" s="52">
        <v>90</v>
      </c>
    </row>
    <row r="81" spans="1:18" s="4" customFormat="1" ht="56.25" customHeight="1">
      <c r="A81" s="8"/>
      <c r="B81" s="35">
        <f t="shared" si="13"/>
        <v>45</v>
      </c>
      <c r="C81" s="66" t="s">
        <v>163</v>
      </c>
      <c r="D81" s="67" t="s">
        <v>11</v>
      </c>
      <c r="E81" s="40">
        <f>+E87/E79*100</f>
        <v>3.234501347708895</v>
      </c>
      <c r="F81" s="40">
        <f>+F87/F79*100</f>
        <v>3.25</v>
      </c>
      <c r="G81" s="40">
        <f>+G87/G79*100</f>
        <v>6.25</v>
      </c>
      <c r="H81" s="40">
        <f>+H87/H79*100</f>
        <v>2.75</v>
      </c>
      <c r="I81" s="40">
        <v>4</v>
      </c>
      <c r="J81" s="40">
        <v>3.8</v>
      </c>
      <c r="K81" s="40">
        <v>4.9</v>
      </c>
      <c r="L81" s="40">
        <v>3.8</v>
      </c>
      <c r="M81" s="40">
        <v>6</v>
      </c>
      <c r="N81" s="40">
        <v>3.8</v>
      </c>
      <c r="O81" s="40">
        <v>3.8</v>
      </c>
      <c r="P81" s="40">
        <v>3.8</v>
      </c>
      <c r="Q81" s="40">
        <v>3.8</v>
      </c>
      <c r="R81" s="40">
        <v>3.8</v>
      </c>
    </row>
    <row r="82" spans="1:18" s="4" customFormat="1" ht="96" customHeight="1">
      <c r="A82" s="8"/>
      <c r="B82" s="35">
        <f t="shared" si="13"/>
        <v>46</v>
      </c>
      <c r="C82" s="66" t="s">
        <v>164</v>
      </c>
      <c r="D82" s="67" t="s">
        <v>11</v>
      </c>
      <c r="E82" s="40">
        <f>+E90/E93*100</f>
        <v>25.581395348837212</v>
      </c>
      <c r="F82" s="40">
        <f>+F90/F93*100</f>
        <v>20</v>
      </c>
      <c r="G82" s="40">
        <f>+G90/G93*100</f>
        <v>10</v>
      </c>
      <c r="H82" s="40">
        <f>+H90/H93*100</f>
        <v>26.47058823529412</v>
      </c>
      <c r="I82" s="40">
        <v>23.8</v>
      </c>
      <c r="J82" s="40">
        <v>19.5</v>
      </c>
      <c r="K82" s="40">
        <v>12.5</v>
      </c>
      <c r="L82" s="40">
        <v>21.1</v>
      </c>
      <c r="M82" s="40">
        <v>26.4</v>
      </c>
      <c r="N82" s="40">
        <v>21.1</v>
      </c>
      <c r="O82" s="40">
        <v>21.1</v>
      </c>
      <c r="P82" s="40">
        <v>21.1</v>
      </c>
      <c r="Q82" s="40">
        <v>21.1</v>
      </c>
      <c r="R82" s="40">
        <v>21.1</v>
      </c>
    </row>
    <row r="83" spans="1:18" s="4" customFormat="1" ht="53.25" customHeight="1" hidden="1">
      <c r="A83" s="8"/>
      <c r="B83" s="35"/>
      <c r="C83" s="90" t="s">
        <v>129</v>
      </c>
      <c r="D83" s="67"/>
      <c r="E83" s="40">
        <f>+E86/E85*100</f>
        <v>2.774922918807811</v>
      </c>
      <c r="F83" s="40">
        <f aca="true" t="shared" si="15" ref="F83:M83">+F86/F85*100</f>
        <v>1.8274111675126905</v>
      </c>
      <c r="G83" s="40">
        <f t="shared" si="15"/>
        <v>3.0518819938962363</v>
      </c>
      <c r="H83" s="40">
        <f t="shared" si="15"/>
        <v>3.7525354969574036</v>
      </c>
      <c r="I83" s="40">
        <f t="shared" si="15"/>
        <v>3.5496957403651117</v>
      </c>
      <c r="J83" s="40">
        <f t="shared" si="15"/>
        <v>3.560528992878942</v>
      </c>
      <c r="K83" s="40">
        <f t="shared" si="15"/>
        <v>3.727369542066028</v>
      </c>
      <c r="L83" s="40">
        <f t="shared" si="15"/>
        <v>3.763440860215054</v>
      </c>
      <c r="M83" s="40">
        <f t="shared" si="15"/>
        <v>3.7433155080213902</v>
      </c>
      <c r="N83" s="40"/>
      <c r="O83" s="40"/>
      <c r="P83" s="40"/>
      <c r="Q83" s="40"/>
      <c r="R83" s="40"/>
    </row>
    <row r="84" spans="1:18" s="4" customFormat="1" ht="82.5" customHeight="1" hidden="1">
      <c r="A84" s="8"/>
      <c r="B84" s="35"/>
      <c r="C84" s="90" t="s">
        <v>130</v>
      </c>
      <c r="D84" s="67"/>
      <c r="E84" s="40">
        <f>+E89/E92*100</f>
        <v>19.27710843373494</v>
      </c>
      <c r="F84" s="40">
        <f aca="true" t="shared" si="16" ref="F84:M84">+F89/F92*100</f>
        <v>16.666666666666664</v>
      </c>
      <c r="G84" s="40">
        <f t="shared" si="16"/>
        <v>7.777777777777778</v>
      </c>
      <c r="H84" s="40">
        <f t="shared" si="16"/>
        <v>18.461538461538463</v>
      </c>
      <c r="I84" s="40">
        <f t="shared" si="16"/>
        <v>15.384615384615385</v>
      </c>
      <c r="J84" s="40">
        <f t="shared" si="16"/>
        <v>17.647058823529413</v>
      </c>
      <c r="K84" s="40">
        <f t="shared" si="16"/>
        <v>17.647058823529413</v>
      </c>
      <c r="L84" s="40">
        <f t="shared" si="16"/>
        <v>17.647058823529413</v>
      </c>
      <c r="M84" s="40">
        <f t="shared" si="16"/>
        <v>17.647058823529413</v>
      </c>
      <c r="N84" s="40"/>
      <c r="O84" s="40"/>
      <c r="P84" s="40"/>
      <c r="Q84" s="40"/>
      <c r="R84" s="40"/>
    </row>
    <row r="85" spans="1:18" s="4" customFormat="1" ht="26.25" customHeight="1" hidden="1">
      <c r="A85" s="8"/>
      <c r="B85" s="35"/>
      <c r="C85" s="90" t="s">
        <v>134</v>
      </c>
      <c r="D85" s="67"/>
      <c r="E85" s="52">
        <f aca="true" t="shared" si="17" ref="E85:M85">+E75+E79</f>
        <v>973</v>
      </c>
      <c r="F85" s="52">
        <f t="shared" si="17"/>
        <v>985</v>
      </c>
      <c r="G85" s="52">
        <f t="shared" si="17"/>
        <v>983</v>
      </c>
      <c r="H85" s="52">
        <f t="shared" si="17"/>
        <v>986</v>
      </c>
      <c r="I85" s="52">
        <f t="shared" si="17"/>
        <v>986</v>
      </c>
      <c r="J85" s="52">
        <f t="shared" si="17"/>
        <v>983</v>
      </c>
      <c r="K85" s="52">
        <f t="shared" si="17"/>
        <v>939</v>
      </c>
      <c r="L85" s="52">
        <f t="shared" si="17"/>
        <v>930</v>
      </c>
      <c r="M85" s="52">
        <f t="shared" si="17"/>
        <v>935</v>
      </c>
      <c r="N85" s="52"/>
      <c r="O85" s="52"/>
      <c r="P85" s="52"/>
      <c r="Q85" s="52"/>
      <c r="R85" s="52"/>
    </row>
    <row r="86" spans="1:18" s="4" customFormat="1" ht="26.25" customHeight="1" hidden="1">
      <c r="A86" s="8"/>
      <c r="B86" s="35"/>
      <c r="C86" s="90" t="s">
        <v>135</v>
      </c>
      <c r="D86" s="67"/>
      <c r="E86" s="52">
        <f aca="true" t="shared" si="18" ref="E86:M86">+E87+E88</f>
        <v>27</v>
      </c>
      <c r="F86" s="52">
        <f t="shared" si="18"/>
        <v>18</v>
      </c>
      <c r="G86" s="52">
        <f t="shared" si="18"/>
        <v>30</v>
      </c>
      <c r="H86" s="52">
        <f t="shared" si="18"/>
        <v>37</v>
      </c>
      <c r="I86" s="52">
        <f t="shared" si="18"/>
        <v>35</v>
      </c>
      <c r="J86" s="52">
        <f t="shared" si="18"/>
        <v>35</v>
      </c>
      <c r="K86" s="52">
        <f t="shared" si="18"/>
        <v>35</v>
      </c>
      <c r="L86" s="52">
        <f t="shared" si="18"/>
        <v>35</v>
      </c>
      <c r="M86" s="52">
        <f t="shared" si="18"/>
        <v>35</v>
      </c>
      <c r="N86" s="52"/>
      <c r="O86" s="52"/>
      <c r="P86" s="52"/>
      <c r="Q86" s="52"/>
      <c r="R86" s="52"/>
    </row>
    <row r="87" spans="1:18" s="4" customFormat="1" ht="26.25" customHeight="1" hidden="1">
      <c r="A87" s="8"/>
      <c r="B87" s="35"/>
      <c r="C87" s="66" t="s">
        <v>132</v>
      </c>
      <c r="D87" s="67"/>
      <c r="E87" s="52">
        <v>12</v>
      </c>
      <c r="F87" s="52">
        <v>13</v>
      </c>
      <c r="G87" s="52">
        <v>25</v>
      </c>
      <c r="H87" s="52">
        <v>11</v>
      </c>
      <c r="I87" s="52">
        <v>15</v>
      </c>
      <c r="J87" s="52">
        <v>15</v>
      </c>
      <c r="K87" s="52">
        <v>15</v>
      </c>
      <c r="L87" s="52">
        <v>15</v>
      </c>
      <c r="M87" s="52">
        <v>15</v>
      </c>
      <c r="N87" s="52"/>
      <c r="O87" s="52"/>
      <c r="P87" s="52"/>
      <c r="Q87" s="52"/>
      <c r="R87" s="52"/>
    </row>
    <row r="88" spans="1:18" s="4" customFormat="1" ht="26.25" customHeight="1" hidden="1">
      <c r="A88" s="8"/>
      <c r="B88" s="35"/>
      <c r="C88" s="66" t="s">
        <v>133</v>
      </c>
      <c r="D88" s="67"/>
      <c r="E88" s="52">
        <v>15</v>
      </c>
      <c r="F88" s="52">
        <v>5</v>
      </c>
      <c r="G88" s="52">
        <v>5</v>
      </c>
      <c r="H88" s="52">
        <v>26</v>
      </c>
      <c r="I88" s="52">
        <v>20</v>
      </c>
      <c r="J88" s="52">
        <v>20</v>
      </c>
      <c r="K88" s="52">
        <v>20</v>
      </c>
      <c r="L88" s="52">
        <v>20</v>
      </c>
      <c r="M88" s="52">
        <v>20</v>
      </c>
      <c r="N88" s="52"/>
      <c r="O88" s="52"/>
      <c r="P88" s="52"/>
      <c r="Q88" s="52"/>
      <c r="R88" s="52"/>
    </row>
    <row r="89" spans="1:18" s="4" customFormat="1" ht="26.25" customHeight="1" hidden="1">
      <c r="A89" s="8"/>
      <c r="B89" s="35"/>
      <c r="C89" s="90" t="s">
        <v>136</v>
      </c>
      <c r="D89" s="67"/>
      <c r="E89" s="52">
        <f aca="true" t="shared" si="19" ref="E89:M89">+E90+E91</f>
        <v>16</v>
      </c>
      <c r="F89" s="52">
        <f t="shared" si="19"/>
        <v>15</v>
      </c>
      <c r="G89" s="52">
        <f t="shared" si="19"/>
        <v>7</v>
      </c>
      <c r="H89" s="52">
        <f t="shared" si="19"/>
        <v>12</v>
      </c>
      <c r="I89" s="52">
        <f t="shared" si="19"/>
        <v>14</v>
      </c>
      <c r="J89" s="52">
        <f t="shared" si="19"/>
        <v>15</v>
      </c>
      <c r="K89" s="52">
        <f t="shared" si="19"/>
        <v>15</v>
      </c>
      <c r="L89" s="52">
        <f t="shared" si="19"/>
        <v>15</v>
      </c>
      <c r="M89" s="52">
        <f t="shared" si="19"/>
        <v>15</v>
      </c>
      <c r="N89" s="52"/>
      <c r="O89" s="52"/>
      <c r="P89" s="52"/>
      <c r="Q89" s="52"/>
      <c r="R89" s="52"/>
    </row>
    <row r="90" spans="1:18" s="4" customFormat="1" ht="26.25" customHeight="1" hidden="1">
      <c r="A90" s="8"/>
      <c r="B90" s="35"/>
      <c r="C90" s="66" t="s">
        <v>132</v>
      </c>
      <c r="D90" s="67"/>
      <c r="E90" s="52">
        <v>11</v>
      </c>
      <c r="F90" s="52">
        <v>9</v>
      </c>
      <c r="G90" s="52">
        <v>5</v>
      </c>
      <c r="H90" s="52">
        <v>9</v>
      </c>
      <c r="I90" s="52">
        <v>9</v>
      </c>
      <c r="J90" s="52">
        <v>9</v>
      </c>
      <c r="K90" s="52">
        <v>9</v>
      </c>
      <c r="L90" s="52">
        <v>9</v>
      </c>
      <c r="M90" s="52">
        <v>9</v>
      </c>
      <c r="N90" s="52"/>
      <c r="O90" s="52"/>
      <c r="P90" s="52"/>
      <c r="Q90" s="52"/>
      <c r="R90" s="52"/>
    </row>
    <row r="91" spans="1:18" s="4" customFormat="1" ht="26.25" customHeight="1" hidden="1">
      <c r="A91" s="8"/>
      <c r="B91" s="35"/>
      <c r="C91" s="66" t="s">
        <v>133</v>
      </c>
      <c r="D91" s="67"/>
      <c r="E91" s="52">
        <v>5</v>
      </c>
      <c r="F91" s="52">
        <v>6</v>
      </c>
      <c r="G91" s="52">
        <v>2</v>
      </c>
      <c r="H91" s="52">
        <v>3</v>
      </c>
      <c r="I91" s="52">
        <v>5</v>
      </c>
      <c r="J91" s="52">
        <v>6</v>
      </c>
      <c r="K91" s="52">
        <v>6</v>
      </c>
      <c r="L91" s="52">
        <v>6</v>
      </c>
      <c r="M91" s="52">
        <v>6</v>
      </c>
      <c r="N91" s="52"/>
      <c r="O91" s="52"/>
      <c r="P91" s="52"/>
      <c r="Q91" s="52"/>
      <c r="R91" s="52"/>
    </row>
    <row r="92" spans="1:18" s="4" customFormat="1" ht="21.75" customHeight="1" hidden="1">
      <c r="A92" s="8"/>
      <c r="B92" s="35"/>
      <c r="C92" s="66" t="s">
        <v>131</v>
      </c>
      <c r="D92" s="67"/>
      <c r="E92" s="52">
        <f>+E93+E94</f>
        <v>83</v>
      </c>
      <c r="F92" s="52">
        <f aca="true" t="shared" si="20" ref="F92:M92">+F93+F94</f>
        <v>90</v>
      </c>
      <c r="G92" s="52">
        <f t="shared" si="20"/>
        <v>90</v>
      </c>
      <c r="H92" s="52">
        <f t="shared" si="20"/>
        <v>65</v>
      </c>
      <c r="I92" s="52">
        <f t="shared" si="20"/>
        <v>91</v>
      </c>
      <c r="J92" s="52">
        <f t="shared" si="20"/>
        <v>85</v>
      </c>
      <c r="K92" s="52">
        <f t="shared" si="20"/>
        <v>85</v>
      </c>
      <c r="L92" s="52">
        <f t="shared" si="20"/>
        <v>85</v>
      </c>
      <c r="M92" s="52">
        <f t="shared" si="20"/>
        <v>85</v>
      </c>
      <c r="N92" s="52"/>
      <c r="O92" s="52"/>
      <c r="P92" s="52"/>
      <c r="Q92" s="52"/>
      <c r="R92" s="52"/>
    </row>
    <row r="93" spans="1:18" s="4" customFormat="1" ht="17.25" customHeight="1" hidden="1">
      <c r="A93" s="8"/>
      <c r="B93" s="35"/>
      <c r="C93" s="66" t="s">
        <v>132</v>
      </c>
      <c r="D93" s="67"/>
      <c r="E93" s="52">
        <v>43</v>
      </c>
      <c r="F93" s="52">
        <v>45</v>
      </c>
      <c r="G93" s="52">
        <v>50</v>
      </c>
      <c r="H93" s="52">
        <v>34</v>
      </c>
      <c r="I93" s="52">
        <v>42</v>
      </c>
      <c r="J93" s="52">
        <v>40</v>
      </c>
      <c r="K93" s="52">
        <v>40</v>
      </c>
      <c r="L93" s="52">
        <v>40</v>
      </c>
      <c r="M93" s="52">
        <v>40</v>
      </c>
      <c r="N93" s="52"/>
      <c r="O93" s="52"/>
      <c r="P93" s="52"/>
      <c r="Q93" s="52"/>
      <c r="R93" s="52"/>
    </row>
    <row r="94" spans="1:18" s="4" customFormat="1" ht="17.25" customHeight="1" hidden="1">
      <c r="A94" s="8"/>
      <c r="B94" s="35"/>
      <c r="C94" s="66" t="s">
        <v>133</v>
      </c>
      <c r="D94" s="67"/>
      <c r="E94" s="52">
        <v>40</v>
      </c>
      <c r="F94" s="52">
        <v>45</v>
      </c>
      <c r="G94" s="52">
        <v>40</v>
      </c>
      <c r="H94" s="52">
        <v>31</v>
      </c>
      <c r="I94" s="52">
        <v>49</v>
      </c>
      <c r="J94" s="52">
        <v>45</v>
      </c>
      <c r="K94" s="52">
        <v>45</v>
      </c>
      <c r="L94" s="52">
        <v>45</v>
      </c>
      <c r="M94" s="52">
        <v>45</v>
      </c>
      <c r="N94" s="52"/>
      <c r="O94" s="52"/>
      <c r="P94" s="52"/>
      <c r="Q94" s="52"/>
      <c r="R94" s="52"/>
    </row>
    <row r="95" spans="1:18" s="4" customFormat="1" ht="58.5" customHeight="1">
      <c r="A95" s="8"/>
      <c r="B95" s="35">
        <f>+B82+1</f>
        <v>47</v>
      </c>
      <c r="C95" s="66" t="s">
        <v>128</v>
      </c>
      <c r="D95" s="67" t="s">
        <v>11</v>
      </c>
      <c r="E95" s="40">
        <v>14.8</v>
      </c>
      <c r="F95" s="40">
        <v>16.2</v>
      </c>
      <c r="G95" s="40">
        <v>17</v>
      </c>
      <c r="H95" s="40">
        <v>13.6</v>
      </c>
      <c r="I95" s="40">
        <v>13.8</v>
      </c>
      <c r="J95" s="40">
        <v>13.5</v>
      </c>
      <c r="K95" s="40">
        <v>11.8</v>
      </c>
      <c r="L95" s="40">
        <v>12.1</v>
      </c>
      <c r="M95" s="40">
        <v>19.1</v>
      </c>
      <c r="N95" s="40">
        <v>11.8</v>
      </c>
      <c r="O95" s="40">
        <v>11.8</v>
      </c>
      <c r="P95" s="40">
        <v>12</v>
      </c>
      <c r="Q95" s="40">
        <v>12</v>
      </c>
      <c r="R95" s="40">
        <v>12</v>
      </c>
    </row>
    <row r="96" spans="1:18" s="4" customFormat="1" ht="40.5" customHeight="1">
      <c r="A96" s="8">
        <f>+A73+1</f>
        <v>37</v>
      </c>
      <c r="B96" s="35">
        <f>+B95+1</f>
        <v>48</v>
      </c>
      <c r="C96" s="66" t="s">
        <v>43</v>
      </c>
      <c r="D96" s="67" t="s">
        <v>27</v>
      </c>
      <c r="E96" s="75">
        <v>55</v>
      </c>
      <c r="F96" s="75">
        <v>63</v>
      </c>
      <c r="G96" s="75">
        <v>69</v>
      </c>
      <c r="H96" s="75">
        <v>69</v>
      </c>
      <c r="I96" s="75">
        <v>62</v>
      </c>
      <c r="J96" s="75">
        <v>54</v>
      </c>
      <c r="K96" s="75">
        <v>43</v>
      </c>
      <c r="L96" s="75">
        <v>69</v>
      </c>
      <c r="M96" s="75">
        <v>70</v>
      </c>
      <c r="N96" s="75">
        <v>50</v>
      </c>
      <c r="O96" s="75">
        <v>50</v>
      </c>
      <c r="P96" s="75">
        <v>55</v>
      </c>
      <c r="Q96" s="75">
        <v>55</v>
      </c>
      <c r="R96" s="75">
        <v>55</v>
      </c>
    </row>
    <row r="97" spans="1:18" s="4" customFormat="1" ht="19.5" customHeight="1">
      <c r="A97" s="8"/>
      <c r="B97" s="35"/>
      <c r="C97" s="129" t="s">
        <v>44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1:18" s="4" customFormat="1" ht="18.75" customHeight="1">
      <c r="A98" s="8"/>
      <c r="B98" s="35"/>
      <c r="C98" s="114" t="s">
        <v>45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20"/>
    </row>
    <row r="99" spans="1:18" s="14" customFormat="1" ht="36" customHeight="1">
      <c r="A99" s="13"/>
      <c r="B99" s="35">
        <f>B96+1</f>
        <v>49</v>
      </c>
      <c r="C99" s="66" t="s">
        <v>103</v>
      </c>
      <c r="D99" s="67" t="s">
        <v>21</v>
      </c>
      <c r="E99" s="75">
        <v>2702</v>
      </c>
      <c r="F99" s="75">
        <v>1996</v>
      </c>
      <c r="G99" s="75">
        <v>1739</v>
      </c>
      <c r="H99" s="75">
        <f aca="true" t="shared" si="21" ref="H99:R99">H100</f>
        <v>1420</v>
      </c>
      <c r="I99" s="75">
        <f t="shared" si="21"/>
        <v>987</v>
      </c>
      <c r="J99" s="75">
        <f t="shared" si="21"/>
        <v>797</v>
      </c>
      <c r="K99" s="75">
        <f t="shared" si="21"/>
        <v>765</v>
      </c>
      <c r="L99" s="75">
        <f t="shared" si="21"/>
        <v>675</v>
      </c>
      <c r="M99" s="75">
        <f t="shared" si="21"/>
        <v>720</v>
      </c>
      <c r="N99" s="75">
        <f t="shared" si="21"/>
        <v>720</v>
      </c>
      <c r="O99" s="75">
        <f t="shared" si="21"/>
        <v>719</v>
      </c>
      <c r="P99" s="75">
        <f t="shared" si="21"/>
        <v>718</v>
      </c>
      <c r="Q99" s="75">
        <f t="shared" si="21"/>
        <v>717</v>
      </c>
      <c r="R99" s="75">
        <f t="shared" si="21"/>
        <v>716</v>
      </c>
    </row>
    <row r="100" spans="1:18" s="21" customFormat="1" ht="29.25" customHeight="1" hidden="1">
      <c r="A100" s="42"/>
      <c r="B100" s="47"/>
      <c r="C100" s="73" t="s">
        <v>217</v>
      </c>
      <c r="D100" s="49"/>
      <c r="E100" s="49"/>
      <c r="F100" s="49"/>
      <c r="G100" s="49"/>
      <c r="H100" s="49">
        <v>1420</v>
      </c>
      <c r="I100" s="49">
        <v>987</v>
      </c>
      <c r="J100" s="49">
        <v>797</v>
      </c>
      <c r="K100" s="49">
        <v>765</v>
      </c>
      <c r="L100" s="49">
        <v>675</v>
      </c>
      <c r="M100" s="49">
        <v>720</v>
      </c>
      <c r="N100" s="49">
        <v>720</v>
      </c>
      <c r="O100" s="49">
        <v>719</v>
      </c>
      <c r="P100" s="49">
        <v>718</v>
      </c>
      <c r="Q100" s="49">
        <v>717</v>
      </c>
      <c r="R100" s="49">
        <v>716</v>
      </c>
    </row>
    <row r="101" spans="1:18" s="14" customFormat="1" ht="18.75" customHeight="1">
      <c r="A101" s="13"/>
      <c r="B101" s="35">
        <f>+B99+1</f>
        <v>50</v>
      </c>
      <c r="C101" s="66" t="s">
        <v>104</v>
      </c>
      <c r="D101" s="67" t="s">
        <v>21</v>
      </c>
      <c r="E101" s="75">
        <v>1079</v>
      </c>
      <c r="F101" s="75">
        <v>1016</v>
      </c>
      <c r="G101" s="75">
        <v>810</v>
      </c>
      <c r="H101" s="75">
        <f aca="true" t="shared" si="22" ref="H101:R101">H102</f>
        <v>808</v>
      </c>
      <c r="I101" s="75">
        <f t="shared" si="22"/>
        <v>576</v>
      </c>
      <c r="J101" s="75">
        <f t="shared" si="22"/>
        <v>620</v>
      </c>
      <c r="K101" s="75">
        <f t="shared" si="22"/>
        <v>639</v>
      </c>
      <c r="L101" s="75">
        <f t="shared" si="22"/>
        <v>583</v>
      </c>
      <c r="M101" s="75">
        <f t="shared" si="22"/>
        <v>619</v>
      </c>
      <c r="N101" s="75">
        <f t="shared" si="22"/>
        <v>625</v>
      </c>
      <c r="O101" s="75">
        <f t="shared" si="22"/>
        <v>627</v>
      </c>
      <c r="P101" s="75">
        <f t="shared" si="22"/>
        <v>629</v>
      </c>
      <c r="Q101" s="75">
        <f t="shared" si="22"/>
        <v>631</v>
      </c>
      <c r="R101" s="75">
        <f t="shared" si="22"/>
        <v>633</v>
      </c>
    </row>
    <row r="102" spans="1:18" s="29" customFormat="1" ht="18.75" customHeight="1" hidden="1">
      <c r="A102" s="43"/>
      <c r="B102" s="70"/>
      <c r="C102" s="71" t="s">
        <v>218</v>
      </c>
      <c r="D102" s="49"/>
      <c r="E102" s="49"/>
      <c r="F102" s="49"/>
      <c r="G102" s="49"/>
      <c r="H102" s="49">
        <v>808</v>
      </c>
      <c r="I102" s="49">
        <v>576</v>
      </c>
      <c r="J102" s="49">
        <v>620</v>
      </c>
      <c r="K102" s="49">
        <v>639</v>
      </c>
      <c r="L102" s="49">
        <v>583</v>
      </c>
      <c r="M102" s="49">
        <v>619</v>
      </c>
      <c r="N102" s="49">
        <v>625</v>
      </c>
      <c r="O102" s="49">
        <v>627</v>
      </c>
      <c r="P102" s="49">
        <v>629</v>
      </c>
      <c r="Q102" s="49">
        <v>631</v>
      </c>
      <c r="R102" s="49">
        <v>633</v>
      </c>
    </row>
    <row r="103" spans="1:18" s="14" customFormat="1" ht="36.75" customHeight="1">
      <c r="A103" s="13"/>
      <c r="B103" s="35">
        <f>+B101+1</f>
        <v>51</v>
      </c>
      <c r="C103" s="66" t="s">
        <v>248</v>
      </c>
      <c r="D103" s="67" t="s">
        <v>21</v>
      </c>
      <c r="E103" s="75">
        <v>106</v>
      </c>
      <c r="F103" s="75">
        <v>109</v>
      </c>
      <c r="G103" s="75">
        <v>104</v>
      </c>
      <c r="H103" s="75">
        <f aca="true" t="shared" si="23" ref="H103:R103">H104</f>
        <v>74</v>
      </c>
      <c r="I103" s="75">
        <f t="shared" si="23"/>
        <v>41</v>
      </c>
      <c r="J103" s="75">
        <f t="shared" si="23"/>
        <v>47</v>
      </c>
      <c r="K103" s="75">
        <f t="shared" si="23"/>
        <v>82</v>
      </c>
      <c r="L103" s="75">
        <f t="shared" si="23"/>
        <v>41</v>
      </c>
      <c r="M103" s="75">
        <f t="shared" si="23"/>
        <v>50</v>
      </c>
      <c r="N103" s="75">
        <f t="shared" si="23"/>
        <v>49</v>
      </c>
      <c r="O103" s="75">
        <f t="shared" si="23"/>
        <v>48</v>
      </c>
      <c r="P103" s="75">
        <f t="shared" si="23"/>
        <v>47</v>
      </c>
      <c r="Q103" s="75">
        <f t="shared" si="23"/>
        <v>46</v>
      </c>
      <c r="R103" s="75">
        <f t="shared" si="23"/>
        <v>45</v>
      </c>
    </row>
    <row r="104" spans="1:18" s="29" customFormat="1" ht="29.25" customHeight="1" hidden="1">
      <c r="A104" s="43"/>
      <c r="B104" s="70"/>
      <c r="C104" s="71" t="s">
        <v>219</v>
      </c>
      <c r="D104" s="49"/>
      <c r="E104" s="49"/>
      <c r="F104" s="49"/>
      <c r="G104" s="49"/>
      <c r="H104" s="49">
        <v>74</v>
      </c>
      <c r="I104" s="49">
        <v>41</v>
      </c>
      <c r="J104" s="49">
        <v>47</v>
      </c>
      <c r="K104" s="49">
        <v>82</v>
      </c>
      <c r="L104" s="49">
        <v>41</v>
      </c>
      <c r="M104" s="49">
        <v>50</v>
      </c>
      <c r="N104" s="49">
        <v>49</v>
      </c>
      <c r="O104" s="49">
        <v>48</v>
      </c>
      <c r="P104" s="49">
        <v>47</v>
      </c>
      <c r="Q104" s="49">
        <v>46</v>
      </c>
      <c r="R104" s="49">
        <v>45</v>
      </c>
    </row>
    <row r="105" spans="1:18" s="14" customFormat="1" ht="42.75" customHeight="1" hidden="1">
      <c r="A105" s="13" t="s">
        <v>105</v>
      </c>
      <c r="B105" s="35">
        <f>+B103+1</f>
        <v>52</v>
      </c>
      <c r="C105" s="66" t="s">
        <v>46</v>
      </c>
      <c r="D105" s="67" t="s">
        <v>21</v>
      </c>
      <c r="E105" s="53">
        <v>1.5737121521498163</v>
      </c>
      <c r="F105" s="53">
        <v>1.4822379458749726</v>
      </c>
      <c r="G105" s="53">
        <v>1.182844375648009</v>
      </c>
      <c r="H105" s="53">
        <v>1.2100677637947723</v>
      </c>
      <c r="I105" s="53">
        <v>1.2436190678158654</v>
      </c>
      <c r="J105" s="53">
        <v>1.2422454229081554</v>
      </c>
      <c r="K105" s="53">
        <v>1.255856128154753</v>
      </c>
      <c r="L105" s="53">
        <v>1.2163834475264856</v>
      </c>
      <c r="M105" s="53">
        <v>1.2085229498809558</v>
      </c>
      <c r="N105" s="53"/>
      <c r="O105" s="53"/>
      <c r="P105" s="53"/>
      <c r="Q105" s="53"/>
      <c r="R105" s="53"/>
    </row>
    <row r="106" spans="1:18" s="32" customFormat="1" ht="21" customHeight="1" hidden="1">
      <c r="A106" s="13"/>
      <c r="B106" s="35">
        <f aca="true" t="shared" si="24" ref="B106:B111">+B105+1</f>
        <v>53</v>
      </c>
      <c r="C106" s="91" t="s">
        <v>106</v>
      </c>
      <c r="D106" s="67"/>
      <c r="E106" s="75">
        <v>1079</v>
      </c>
      <c r="F106" s="75">
        <v>1016</v>
      </c>
      <c r="G106" s="75">
        <v>810</v>
      </c>
      <c r="H106" s="75">
        <f aca="true" t="shared" si="25" ref="H106:M106">+H101</f>
        <v>808</v>
      </c>
      <c r="I106" s="75">
        <f t="shared" si="25"/>
        <v>576</v>
      </c>
      <c r="J106" s="75">
        <f t="shared" si="25"/>
        <v>620</v>
      </c>
      <c r="K106" s="75">
        <f t="shared" si="25"/>
        <v>639</v>
      </c>
      <c r="L106" s="75">
        <f t="shared" si="25"/>
        <v>583</v>
      </c>
      <c r="M106" s="75">
        <f t="shared" si="25"/>
        <v>619</v>
      </c>
      <c r="N106" s="75"/>
      <c r="O106" s="75"/>
      <c r="P106" s="75"/>
      <c r="Q106" s="75"/>
      <c r="R106" s="75"/>
    </row>
    <row r="107" spans="1:18" s="32" customFormat="1" ht="21" customHeight="1" hidden="1">
      <c r="A107" s="33"/>
      <c r="B107" s="35">
        <f t="shared" si="24"/>
        <v>54</v>
      </c>
      <c r="C107" s="91" t="s">
        <v>107</v>
      </c>
      <c r="D107" s="92"/>
      <c r="E107" s="93">
        <f>+E106/E99*100</f>
        <v>39.933382679496674</v>
      </c>
      <c r="F107" s="93">
        <f aca="true" t="shared" si="26" ref="F107:M107">+F106/F99*100</f>
        <v>50.901803607214426</v>
      </c>
      <c r="G107" s="93">
        <f t="shared" si="26"/>
        <v>46.57849338700403</v>
      </c>
      <c r="H107" s="93">
        <f t="shared" si="26"/>
        <v>56.901408450704224</v>
      </c>
      <c r="I107" s="93">
        <f t="shared" si="26"/>
        <v>58.35866261398176</v>
      </c>
      <c r="J107" s="93">
        <f t="shared" si="26"/>
        <v>77.79171894604768</v>
      </c>
      <c r="K107" s="93">
        <f t="shared" si="26"/>
        <v>83.52941176470588</v>
      </c>
      <c r="L107" s="93">
        <f t="shared" si="26"/>
        <v>86.37037037037038</v>
      </c>
      <c r="M107" s="93">
        <f t="shared" si="26"/>
        <v>85.97222222222223</v>
      </c>
      <c r="N107" s="93"/>
      <c r="O107" s="93"/>
      <c r="P107" s="93"/>
      <c r="Q107" s="93"/>
      <c r="R107" s="93"/>
    </row>
    <row r="108" spans="1:18" s="14" customFormat="1" ht="56.25" customHeight="1" hidden="1">
      <c r="A108" s="13"/>
      <c r="B108" s="35">
        <f t="shared" si="24"/>
        <v>55</v>
      </c>
      <c r="C108" s="66" t="s">
        <v>108</v>
      </c>
      <c r="D108" s="67" t="s">
        <v>11</v>
      </c>
      <c r="E108" s="40">
        <f>+E101/E99*100</f>
        <v>39.933382679496674</v>
      </c>
      <c r="F108" s="40">
        <f aca="true" t="shared" si="27" ref="F108:M108">+F101/F99*100</f>
        <v>50.901803607214426</v>
      </c>
      <c r="G108" s="40">
        <f t="shared" si="27"/>
        <v>46.57849338700403</v>
      </c>
      <c r="H108" s="40">
        <f t="shared" si="27"/>
        <v>56.901408450704224</v>
      </c>
      <c r="I108" s="40">
        <f t="shared" si="27"/>
        <v>58.35866261398176</v>
      </c>
      <c r="J108" s="40">
        <f t="shared" si="27"/>
        <v>77.79171894604768</v>
      </c>
      <c r="K108" s="40">
        <f t="shared" si="27"/>
        <v>83.52941176470588</v>
      </c>
      <c r="L108" s="40">
        <f t="shared" si="27"/>
        <v>86.37037037037038</v>
      </c>
      <c r="M108" s="40">
        <f t="shared" si="27"/>
        <v>85.97222222222223</v>
      </c>
      <c r="N108" s="40"/>
      <c r="O108" s="40"/>
      <c r="P108" s="40"/>
      <c r="Q108" s="40"/>
      <c r="R108" s="40"/>
    </row>
    <row r="109" spans="1:18" s="14" customFormat="1" ht="60.75" customHeight="1" hidden="1">
      <c r="A109" s="13" t="s">
        <v>109</v>
      </c>
      <c r="B109" s="35">
        <f t="shared" si="24"/>
        <v>56</v>
      </c>
      <c r="C109" s="66" t="s">
        <v>47</v>
      </c>
      <c r="D109" s="67" t="s">
        <v>110</v>
      </c>
      <c r="E109" s="40">
        <f aca="true" t="shared" si="28" ref="E109:M109">+E110/E111*100</f>
        <v>11.11111111111111</v>
      </c>
      <c r="F109" s="40">
        <f t="shared" si="28"/>
        <v>12.76595744680851</v>
      </c>
      <c r="G109" s="40">
        <f t="shared" si="28"/>
        <v>2.857142857142857</v>
      </c>
      <c r="H109" s="40">
        <f t="shared" si="28"/>
        <v>4.545454545454546</v>
      </c>
      <c r="I109" s="40">
        <f t="shared" si="28"/>
        <v>3.0303030303030303</v>
      </c>
      <c r="J109" s="40">
        <f t="shared" si="28"/>
        <v>3.076923076923077</v>
      </c>
      <c r="K109" s="40">
        <f t="shared" si="28"/>
        <v>3.125</v>
      </c>
      <c r="L109" s="40">
        <f t="shared" si="28"/>
        <v>0</v>
      </c>
      <c r="M109" s="40">
        <f t="shared" si="28"/>
        <v>1.5625</v>
      </c>
      <c r="N109" s="40"/>
      <c r="O109" s="40"/>
      <c r="P109" s="40"/>
      <c r="Q109" s="40"/>
      <c r="R109" s="40"/>
    </row>
    <row r="110" spans="1:18" s="14" customFormat="1" ht="40.5" customHeight="1">
      <c r="A110" s="13"/>
      <c r="B110" s="35">
        <f>+B103+1</f>
        <v>52</v>
      </c>
      <c r="C110" s="66" t="s">
        <v>111</v>
      </c>
      <c r="D110" s="67" t="s">
        <v>27</v>
      </c>
      <c r="E110" s="75">
        <v>6</v>
      </c>
      <c r="F110" s="75">
        <v>6</v>
      </c>
      <c r="G110" s="75">
        <v>2</v>
      </c>
      <c r="H110" s="75">
        <v>3</v>
      </c>
      <c r="I110" s="75">
        <v>2</v>
      </c>
      <c r="J110" s="75">
        <v>2</v>
      </c>
      <c r="K110" s="75">
        <v>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</row>
    <row r="111" spans="1:18" s="14" customFormat="1" ht="50.25" customHeight="1" hidden="1">
      <c r="A111" s="13"/>
      <c r="B111" s="35">
        <f t="shared" si="24"/>
        <v>53</v>
      </c>
      <c r="C111" s="66" t="s">
        <v>112</v>
      </c>
      <c r="D111" s="67" t="s">
        <v>110</v>
      </c>
      <c r="E111" s="75">
        <v>54</v>
      </c>
      <c r="F111" s="75">
        <v>47</v>
      </c>
      <c r="G111" s="75">
        <v>70</v>
      </c>
      <c r="H111" s="75">
        <v>66</v>
      </c>
      <c r="I111" s="75">
        <v>66</v>
      </c>
      <c r="J111" s="75">
        <v>65</v>
      </c>
      <c r="K111" s="75">
        <v>64</v>
      </c>
      <c r="L111" s="75">
        <v>64</v>
      </c>
      <c r="M111" s="75">
        <v>64</v>
      </c>
      <c r="N111" s="75"/>
      <c r="O111" s="75"/>
      <c r="P111" s="75"/>
      <c r="Q111" s="75"/>
      <c r="R111" s="75"/>
    </row>
    <row r="112" spans="1:18" s="14" customFormat="1" ht="61.5" customHeight="1">
      <c r="A112" s="13"/>
      <c r="B112" s="35">
        <f>+B110+1</f>
        <v>53</v>
      </c>
      <c r="C112" s="66" t="s">
        <v>113</v>
      </c>
      <c r="D112" s="67" t="s">
        <v>21</v>
      </c>
      <c r="E112" s="40">
        <v>17.2</v>
      </c>
      <c r="F112" s="40">
        <v>15.6</v>
      </c>
      <c r="G112" s="40">
        <v>21.1</v>
      </c>
      <c r="H112" s="40">
        <v>19.5</v>
      </c>
      <c r="I112" s="40">
        <v>19.5</v>
      </c>
      <c r="J112" s="40">
        <v>26.8</v>
      </c>
      <c r="K112" s="40">
        <v>14.3</v>
      </c>
      <c r="L112" s="40">
        <v>18.5</v>
      </c>
      <c r="M112" s="40">
        <v>12.03</v>
      </c>
      <c r="N112" s="40">
        <v>11.5</v>
      </c>
      <c r="O112" s="40">
        <v>11</v>
      </c>
      <c r="P112" s="40">
        <v>10.5</v>
      </c>
      <c r="Q112" s="40">
        <v>10</v>
      </c>
      <c r="R112" s="40">
        <v>9.5</v>
      </c>
    </row>
    <row r="113" spans="1:18" s="4" customFormat="1" ht="22.5" customHeight="1">
      <c r="A113" s="8"/>
      <c r="B113" s="35"/>
      <c r="C113" s="114" t="s">
        <v>48</v>
      </c>
      <c r="D113" s="115"/>
      <c r="E113" s="115"/>
      <c r="F113" s="115"/>
      <c r="G113" s="115"/>
      <c r="H113" s="115"/>
      <c r="I113" s="115"/>
      <c r="J113" s="115"/>
      <c r="K113" s="115"/>
      <c r="L113" s="115"/>
      <c r="M113" s="120"/>
      <c r="N113" s="94"/>
      <c r="O113" s="94"/>
      <c r="P113" s="94"/>
      <c r="Q113" s="94"/>
      <c r="R113" s="94"/>
    </row>
    <row r="114" spans="1:18" s="4" customFormat="1" ht="37.5" customHeight="1">
      <c r="A114" s="8">
        <v>43</v>
      </c>
      <c r="B114" s="35">
        <f>+B112+1</f>
        <v>54</v>
      </c>
      <c r="C114" s="66" t="s">
        <v>49</v>
      </c>
      <c r="D114" s="67" t="s">
        <v>11</v>
      </c>
      <c r="E114" s="75">
        <v>100</v>
      </c>
      <c r="F114" s="75">
        <v>100</v>
      </c>
      <c r="G114" s="75">
        <v>100</v>
      </c>
      <c r="H114" s="75">
        <v>100</v>
      </c>
      <c r="I114" s="75">
        <v>100</v>
      </c>
      <c r="J114" s="75">
        <v>100</v>
      </c>
      <c r="K114" s="75">
        <v>100</v>
      </c>
      <c r="L114" s="75">
        <v>100</v>
      </c>
      <c r="M114" s="75">
        <v>100</v>
      </c>
      <c r="N114" s="75">
        <v>100</v>
      </c>
      <c r="O114" s="75">
        <v>100</v>
      </c>
      <c r="P114" s="75">
        <v>100</v>
      </c>
      <c r="Q114" s="75">
        <v>100</v>
      </c>
      <c r="R114" s="75">
        <v>100</v>
      </c>
    </row>
    <row r="115" spans="1:18" s="4" customFormat="1" ht="38.25" customHeight="1">
      <c r="A115" s="8" t="e">
        <f>+#REF!+1</f>
        <v>#REF!</v>
      </c>
      <c r="B115" s="35">
        <f>+B114+1</f>
        <v>55</v>
      </c>
      <c r="C115" s="66" t="s">
        <v>184</v>
      </c>
      <c r="D115" s="67" t="s">
        <v>56</v>
      </c>
      <c r="E115" s="75">
        <v>92.7</v>
      </c>
      <c r="F115" s="75">
        <v>91.5</v>
      </c>
      <c r="G115" s="75">
        <v>87.3</v>
      </c>
      <c r="H115" s="40">
        <v>89.3</v>
      </c>
      <c r="I115" s="40">
        <v>83.6</v>
      </c>
      <c r="J115" s="40">
        <v>81.9</v>
      </c>
      <c r="K115" s="40">
        <v>82.1</v>
      </c>
      <c r="L115" s="40">
        <v>81.1</v>
      </c>
      <c r="M115" s="40">
        <f aca="true" t="shared" si="29" ref="M115:R115">+M116/M5*10000</f>
        <v>82.29410647591315</v>
      </c>
      <c r="N115" s="40">
        <f t="shared" si="29"/>
        <v>82.71956476782844</v>
      </c>
      <c r="O115" s="40">
        <f t="shared" si="29"/>
        <v>82.96636671134087</v>
      </c>
      <c r="P115" s="40">
        <f t="shared" si="29"/>
        <v>83.05647840531562</v>
      </c>
      <c r="Q115" s="40">
        <f t="shared" si="29"/>
        <v>83.0286289099299</v>
      </c>
      <c r="R115" s="40">
        <f t="shared" si="29"/>
        <v>82.91741744135983</v>
      </c>
    </row>
    <row r="116" spans="1:18" s="16" customFormat="1" ht="33.75" customHeight="1" hidden="1">
      <c r="A116" s="15"/>
      <c r="B116" s="47"/>
      <c r="C116" s="60" t="s">
        <v>140</v>
      </c>
      <c r="D116" s="49"/>
      <c r="E116" s="49"/>
      <c r="F116" s="49"/>
      <c r="G116" s="44">
        <v>597</v>
      </c>
      <c r="H116" s="44">
        <v>589</v>
      </c>
      <c r="I116" s="44">
        <v>550</v>
      </c>
      <c r="J116" s="44">
        <v>535</v>
      </c>
      <c r="K116" s="44">
        <v>531</v>
      </c>
      <c r="L116" s="44">
        <v>517</v>
      </c>
      <c r="M116" s="44">
        <v>520</v>
      </c>
      <c r="N116" s="44">
        <v>520</v>
      </c>
      <c r="O116" s="44">
        <v>520</v>
      </c>
      <c r="P116" s="44">
        <v>520</v>
      </c>
      <c r="Q116" s="44">
        <v>520</v>
      </c>
      <c r="R116" s="44">
        <v>520</v>
      </c>
    </row>
    <row r="117" spans="1:18" s="4" customFormat="1" ht="38.25" customHeight="1">
      <c r="A117" s="8" t="e">
        <f>+A115+1</f>
        <v>#REF!</v>
      </c>
      <c r="B117" s="35">
        <f>+B115+1</f>
        <v>56</v>
      </c>
      <c r="C117" s="66" t="s">
        <v>57</v>
      </c>
      <c r="D117" s="67" t="s">
        <v>58</v>
      </c>
      <c r="E117" s="75">
        <v>1541</v>
      </c>
      <c r="F117" s="75">
        <v>1564</v>
      </c>
      <c r="G117" s="75">
        <v>1591</v>
      </c>
      <c r="H117" s="75">
        <v>1590</v>
      </c>
      <c r="I117" s="75">
        <v>1589</v>
      </c>
      <c r="J117" s="75">
        <v>1613</v>
      </c>
      <c r="K117" s="75">
        <v>1621</v>
      </c>
      <c r="L117" s="75">
        <v>1623</v>
      </c>
      <c r="M117" s="75">
        <v>1680</v>
      </c>
      <c r="N117" s="75">
        <v>1680</v>
      </c>
      <c r="O117" s="75">
        <v>1680</v>
      </c>
      <c r="P117" s="75">
        <v>1680</v>
      </c>
      <c r="Q117" s="75">
        <v>1680</v>
      </c>
      <c r="R117" s="75">
        <v>1680</v>
      </c>
    </row>
    <row r="118" spans="1:18" s="4" customFormat="1" ht="19.5" customHeight="1">
      <c r="A118" s="8" t="e">
        <f>+A117+1</f>
        <v>#REF!</v>
      </c>
      <c r="B118" s="35">
        <f>+B117+1</f>
        <v>57</v>
      </c>
      <c r="C118" s="66" t="s">
        <v>59</v>
      </c>
      <c r="D118" s="67" t="s">
        <v>60</v>
      </c>
      <c r="E118" s="75">
        <v>764211</v>
      </c>
      <c r="F118" s="75">
        <v>790829</v>
      </c>
      <c r="G118" s="75">
        <v>818551</v>
      </c>
      <c r="H118" s="75">
        <v>768605</v>
      </c>
      <c r="I118" s="75">
        <v>824942</v>
      </c>
      <c r="J118" s="75">
        <v>939758</v>
      </c>
      <c r="K118" s="75">
        <v>936479</v>
      </c>
      <c r="L118" s="75">
        <v>888395</v>
      </c>
      <c r="M118" s="75">
        <v>798741</v>
      </c>
      <c r="N118" s="75">
        <v>770000</v>
      </c>
      <c r="O118" s="75">
        <v>772000</v>
      </c>
      <c r="P118" s="75">
        <v>775000</v>
      </c>
      <c r="Q118" s="75">
        <v>780000</v>
      </c>
      <c r="R118" s="75">
        <v>782000</v>
      </c>
    </row>
    <row r="119" spans="1:18" s="17" customFormat="1" ht="47.25" customHeight="1">
      <c r="A119" s="8" t="e">
        <f aca="true" t="shared" si="30" ref="A119:B123">+A118+1</f>
        <v>#REF!</v>
      </c>
      <c r="B119" s="35">
        <f t="shared" si="30"/>
        <v>58</v>
      </c>
      <c r="C119" s="66" t="s">
        <v>62</v>
      </c>
      <c r="D119" s="67" t="s">
        <v>63</v>
      </c>
      <c r="E119" s="40">
        <v>11.145951228049706</v>
      </c>
      <c r="F119" s="40">
        <v>11.53736961120432</v>
      </c>
      <c r="G119" s="40">
        <v>11.953314154704362</v>
      </c>
      <c r="H119" s="40">
        <v>11.24941455418301</v>
      </c>
      <c r="I119" s="40">
        <v>12.5</v>
      </c>
      <c r="J119" s="40">
        <v>14.4</v>
      </c>
      <c r="K119" s="40">
        <v>14.5</v>
      </c>
      <c r="L119" s="40">
        <v>13.9</v>
      </c>
      <c r="M119" s="40">
        <f aca="true" t="shared" si="31" ref="M119:R119">+M118/M5</f>
        <v>12.640707096284105</v>
      </c>
      <c r="N119" s="40">
        <f t="shared" si="31"/>
        <v>12.24885862908229</v>
      </c>
      <c r="O119" s="40">
        <f t="shared" si="31"/>
        <v>12.317314442529836</v>
      </c>
      <c r="P119" s="40">
        <f t="shared" si="31"/>
        <v>12.378609762330692</v>
      </c>
      <c r="Q119" s="40">
        <f t="shared" si="31"/>
        <v>12.454294336489486</v>
      </c>
      <c r="R119" s="40">
        <f t="shared" si="31"/>
        <v>12.4695039306045</v>
      </c>
    </row>
    <row r="120" spans="1:18" s="4" customFormat="1" ht="41.25" customHeight="1">
      <c r="A120" s="8" t="e">
        <f t="shared" si="30"/>
        <v>#REF!</v>
      </c>
      <c r="B120" s="35">
        <f t="shared" si="30"/>
        <v>59</v>
      </c>
      <c r="C120" s="66" t="s">
        <v>61</v>
      </c>
      <c r="D120" s="67" t="s">
        <v>60</v>
      </c>
      <c r="E120" s="40">
        <v>22.04</v>
      </c>
      <c r="F120" s="40">
        <v>23.23</v>
      </c>
      <c r="G120" s="40">
        <v>24.5</v>
      </c>
      <c r="H120" s="40">
        <v>23.7</v>
      </c>
      <c r="I120" s="40">
        <v>26.7</v>
      </c>
      <c r="J120" s="40">
        <v>31</v>
      </c>
      <c r="K120" s="40">
        <v>31</v>
      </c>
      <c r="L120" s="40">
        <v>31.7</v>
      </c>
      <c r="M120" s="40">
        <f aca="true" t="shared" si="32" ref="M120:R120">M118/(M121*1000)</f>
        <v>29.151131386861312</v>
      </c>
      <c r="N120" s="40">
        <f t="shared" si="32"/>
        <v>28.41328413284133</v>
      </c>
      <c r="O120" s="40">
        <f t="shared" si="32"/>
        <v>28.69888475836431</v>
      </c>
      <c r="P120" s="40">
        <f t="shared" si="32"/>
        <v>28.917910447761194</v>
      </c>
      <c r="Q120" s="40">
        <f t="shared" si="32"/>
        <v>29.213483146067414</v>
      </c>
      <c r="R120" s="40">
        <f t="shared" si="32"/>
        <v>29.398496240601503</v>
      </c>
    </row>
    <row r="121" spans="1:18" s="29" customFormat="1" ht="23.25" customHeight="1" hidden="1">
      <c r="A121" s="27"/>
      <c r="B121" s="70"/>
      <c r="C121" s="71" t="s">
        <v>225</v>
      </c>
      <c r="D121" s="49"/>
      <c r="E121" s="45"/>
      <c r="F121" s="45"/>
      <c r="G121" s="45"/>
      <c r="H121" s="45"/>
      <c r="I121" s="45"/>
      <c r="J121" s="45"/>
      <c r="K121" s="45"/>
      <c r="L121" s="45"/>
      <c r="M121" s="45">
        <v>27.4</v>
      </c>
      <c r="N121" s="45">
        <v>27.1</v>
      </c>
      <c r="O121" s="45">
        <v>26.9</v>
      </c>
      <c r="P121" s="45">
        <v>26.8</v>
      </c>
      <c r="Q121" s="45">
        <v>26.7</v>
      </c>
      <c r="R121" s="45">
        <v>26.6</v>
      </c>
    </row>
    <row r="122" spans="1:18" s="17" customFormat="1" ht="49.5" customHeight="1">
      <c r="A122" s="8" t="e">
        <f>+A120+1</f>
        <v>#REF!</v>
      </c>
      <c r="B122" s="35">
        <f>+B120+1</f>
        <v>60</v>
      </c>
      <c r="C122" s="66" t="s">
        <v>66</v>
      </c>
      <c r="D122" s="67" t="s">
        <v>67</v>
      </c>
      <c r="E122" s="53">
        <v>0.5</v>
      </c>
      <c r="F122" s="53">
        <v>0.5</v>
      </c>
      <c r="G122" s="53">
        <v>0.6</v>
      </c>
      <c r="H122" s="53">
        <v>0.62</v>
      </c>
      <c r="I122" s="53">
        <v>0.6</v>
      </c>
      <c r="J122" s="53">
        <v>0.7</v>
      </c>
      <c r="K122" s="53">
        <v>0.7</v>
      </c>
      <c r="L122" s="53">
        <v>0.7</v>
      </c>
      <c r="M122" s="53">
        <v>0.7</v>
      </c>
      <c r="N122" s="53">
        <v>0.63</v>
      </c>
      <c r="O122" s="53">
        <v>0.63</v>
      </c>
      <c r="P122" s="53">
        <v>0.63</v>
      </c>
      <c r="Q122" s="53">
        <v>0.63</v>
      </c>
      <c r="R122" s="53">
        <v>0.63</v>
      </c>
    </row>
    <row r="123" spans="1:18" s="4" customFormat="1" ht="45.75" customHeight="1">
      <c r="A123" s="8" t="e">
        <f t="shared" si="30"/>
        <v>#REF!</v>
      </c>
      <c r="B123" s="35">
        <f t="shared" si="30"/>
        <v>61</v>
      </c>
      <c r="C123" s="66" t="s">
        <v>68</v>
      </c>
      <c r="D123" s="67" t="s">
        <v>69</v>
      </c>
      <c r="E123" s="53">
        <v>0.4533574470567645</v>
      </c>
      <c r="F123" s="53">
        <v>0.43402144576555546</v>
      </c>
      <c r="G123" s="53">
        <f aca="true" t="shared" si="33" ref="G123:R123">+G124/G5</f>
        <v>0.4552198484206837</v>
      </c>
      <c r="H123" s="53">
        <f t="shared" si="33"/>
        <v>0.45513673765730883</v>
      </c>
      <c r="I123" s="53">
        <f t="shared" si="33"/>
        <v>0.4468162688585363</v>
      </c>
      <c r="J123" s="53">
        <f t="shared" si="33"/>
        <v>0.5053110077139709</v>
      </c>
      <c r="K123" s="53">
        <f t="shared" si="33"/>
        <v>0.4834232368351907</v>
      </c>
      <c r="L123" s="53">
        <f t="shared" si="33"/>
        <v>0.3492210130744539</v>
      </c>
      <c r="M123" s="53">
        <f t="shared" si="33"/>
        <v>0.34760555801734505</v>
      </c>
      <c r="N123" s="53">
        <f t="shared" si="33"/>
        <v>0.3415045416222579</v>
      </c>
      <c r="O123" s="53">
        <f t="shared" si="33"/>
        <v>0.3414385091582105</v>
      </c>
      <c r="P123" s="53">
        <f t="shared" si="33"/>
        <v>0.3402121134679274</v>
      </c>
      <c r="Q123" s="53">
        <f t="shared" si="33"/>
        <v>0.3385013332481758</v>
      </c>
      <c r="R123" s="53">
        <f t="shared" si="33"/>
        <v>0.33485880120549166</v>
      </c>
    </row>
    <row r="124" spans="1:18" s="16" customFormat="1" ht="48" customHeight="1" hidden="1">
      <c r="A124" s="15"/>
      <c r="B124" s="47"/>
      <c r="C124" s="60" t="s">
        <v>141</v>
      </c>
      <c r="D124" s="49"/>
      <c r="E124" s="46"/>
      <c r="F124" s="46"/>
      <c r="G124" s="44">
        <v>31173</v>
      </c>
      <c r="H124" s="44">
        <v>30090</v>
      </c>
      <c r="I124" s="44">
        <v>29409</v>
      </c>
      <c r="J124" s="44">
        <v>33015</v>
      </c>
      <c r="K124" s="44">
        <v>31277</v>
      </c>
      <c r="L124" s="44">
        <v>22303</v>
      </c>
      <c r="M124" s="44">
        <f>+L124+(M5-L5)/2</f>
        <v>21964.5</v>
      </c>
      <c r="N124" s="44">
        <v>21468</v>
      </c>
      <c r="O124" s="44">
        <v>21400</v>
      </c>
      <c r="P124" s="44">
        <v>21300</v>
      </c>
      <c r="Q124" s="44">
        <v>21200</v>
      </c>
      <c r="R124" s="44">
        <v>21000</v>
      </c>
    </row>
    <row r="125" spans="1:18" s="17" customFormat="1" ht="30.75" customHeight="1">
      <c r="A125" s="8" t="e">
        <f>+A123+1</f>
        <v>#REF!</v>
      </c>
      <c r="B125" s="35">
        <f>+B123+1</f>
        <v>62</v>
      </c>
      <c r="C125" s="66" t="s">
        <v>70</v>
      </c>
      <c r="D125" s="67" t="s">
        <v>71</v>
      </c>
      <c r="E125" s="40">
        <v>3</v>
      </c>
      <c r="F125" s="40">
        <v>2.8</v>
      </c>
      <c r="G125" s="40">
        <v>2.7</v>
      </c>
      <c r="H125" s="40">
        <v>2.7</v>
      </c>
      <c r="I125" s="40">
        <v>2.5</v>
      </c>
      <c r="J125" s="40">
        <v>2.4</v>
      </c>
      <c r="K125" s="40">
        <v>2.77</v>
      </c>
      <c r="L125" s="40">
        <v>2.6</v>
      </c>
      <c r="M125" s="40">
        <v>2.8</v>
      </c>
      <c r="N125" s="40">
        <f>N126/N5</f>
        <v>2.7173377026231647</v>
      </c>
      <c r="O125" s="40">
        <f>O126/O5</f>
        <v>2.7254451464675475</v>
      </c>
      <c r="P125" s="40">
        <f>P126/P5</f>
        <v>2.728405315614618</v>
      </c>
      <c r="Q125" s="40">
        <f>Q126/Q5</f>
        <v>2.7274904596911975</v>
      </c>
      <c r="R125" s="40">
        <f>R126/R5</f>
        <v>2.723837162948671</v>
      </c>
    </row>
    <row r="126" spans="1:18" s="17" customFormat="1" ht="30.75" customHeight="1" hidden="1">
      <c r="A126" s="8"/>
      <c r="B126" s="35"/>
      <c r="C126" s="95" t="s">
        <v>70</v>
      </c>
      <c r="D126" s="67"/>
      <c r="E126" s="40"/>
      <c r="F126" s="40"/>
      <c r="G126" s="40"/>
      <c r="H126" s="40"/>
      <c r="I126" s="40">
        <v>162139</v>
      </c>
      <c r="J126" s="40">
        <v>158954</v>
      </c>
      <c r="K126" s="40">
        <v>181239</v>
      </c>
      <c r="L126" s="40">
        <v>168054</v>
      </c>
      <c r="M126" s="40"/>
      <c r="N126" s="44">
        <v>170820</v>
      </c>
      <c r="O126" s="44">
        <v>170820</v>
      </c>
      <c r="P126" s="44">
        <v>170820</v>
      </c>
      <c r="Q126" s="44">
        <v>170820</v>
      </c>
      <c r="R126" s="44">
        <v>170820</v>
      </c>
    </row>
    <row r="127" spans="1:18" s="4" customFormat="1" ht="39" customHeight="1">
      <c r="A127" s="8" t="e">
        <f>+A125+1</f>
        <v>#REF!</v>
      </c>
      <c r="B127" s="35">
        <f>+B125+1</f>
        <v>63</v>
      </c>
      <c r="C127" s="66" t="s">
        <v>64</v>
      </c>
      <c r="D127" s="67" t="s">
        <v>65</v>
      </c>
      <c r="E127" s="40">
        <v>56.7</v>
      </c>
      <c r="F127" s="40">
        <v>58.3</v>
      </c>
      <c r="G127" s="40">
        <v>59.2</v>
      </c>
      <c r="H127" s="40">
        <v>53</v>
      </c>
      <c r="I127" s="40">
        <f aca="true" t="shared" si="34" ref="I127:R127">+I128/I4*10000</f>
        <v>57.30222350915159</v>
      </c>
      <c r="J127" s="40">
        <f t="shared" si="34"/>
        <v>55.49150718622704</v>
      </c>
      <c r="K127" s="40">
        <f t="shared" si="34"/>
        <v>54.395971589761125</v>
      </c>
      <c r="L127" s="40">
        <f t="shared" si="34"/>
        <v>50.482741212847856</v>
      </c>
      <c r="M127" s="40">
        <f t="shared" si="34"/>
        <v>50.00952562392837</v>
      </c>
      <c r="N127" s="40">
        <f t="shared" si="34"/>
        <v>50.208804871051036</v>
      </c>
      <c r="O127" s="40">
        <f t="shared" si="34"/>
        <v>50.30904125341383</v>
      </c>
      <c r="P127" s="40">
        <f t="shared" si="34"/>
        <v>51.27549797933006</v>
      </c>
      <c r="Q127" s="40">
        <f t="shared" si="34"/>
        <v>52.030963211236134</v>
      </c>
      <c r="R127" s="40">
        <f t="shared" si="34"/>
        <v>52.7321969093516</v>
      </c>
    </row>
    <row r="128" spans="1:18" s="16" customFormat="1" ht="45.75" customHeight="1" hidden="1">
      <c r="A128" s="15"/>
      <c r="B128" s="47"/>
      <c r="C128" s="60" t="s">
        <v>143</v>
      </c>
      <c r="D128" s="49"/>
      <c r="E128" s="45"/>
      <c r="F128" s="45"/>
      <c r="G128" s="45"/>
      <c r="H128" s="45">
        <f>360+38</f>
        <v>398</v>
      </c>
      <c r="I128" s="45">
        <v>376</v>
      </c>
      <c r="J128" s="45">
        <v>361</v>
      </c>
      <c r="K128" s="45">
        <v>350</v>
      </c>
      <c r="L128" s="45">
        <v>320</v>
      </c>
      <c r="M128" s="45">
        <v>315</v>
      </c>
      <c r="N128" s="45">
        <f>295+20</f>
        <v>315</v>
      </c>
      <c r="O128" s="45">
        <f>295+20</f>
        <v>315</v>
      </c>
      <c r="P128" s="45">
        <f>300+21</f>
        <v>321</v>
      </c>
      <c r="Q128" s="45">
        <f>305+21</f>
        <v>326</v>
      </c>
      <c r="R128" s="45">
        <f>310+21</f>
        <v>331</v>
      </c>
    </row>
    <row r="129" spans="1:18" s="4" customFormat="1" ht="38.25" customHeight="1">
      <c r="A129" s="8" t="e">
        <f>+A127+1</f>
        <v>#REF!</v>
      </c>
      <c r="B129" s="35">
        <f>+B127+1</f>
        <v>64</v>
      </c>
      <c r="C129" s="66" t="s">
        <v>72</v>
      </c>
      <c r="D129" s="67" t="s">
        <v>65</v>
      </c>
      <c r="E129" s="40">
        <v>115</v>
      </c>
      <c r="F129" s="40">
        <v>116.5</v>
      </c>
      <c r="G129" s="40">
        <v>122.5</v>
      </c>
      <c r="H129" s="76">
        <v>128.3</v>
      </c>
      <c r="I129" s="76">
        <v>136.1</v>
      </c>
      <c r="J129" s="76">
        <v>134.8</v>
      </c>
      <c r="K129" s="76">
        <v>136.3</v>
      </c>
      <c r="L129" s="76">
        <v>126</v>
      </c>
      <c r="M129" s="40">
        <f aca="true" t="shared" si="35" ref="M129:R129">+M130/M4*10000</f>
        <v>119.86410109862196</v>
      </c>
      <c r="N129" s="40">
        <f t="shared" si="35"/>
        <v>117.15387803245243</v>
      </c>
      <c r="O129" s="40">
        <f t="shared" si="35"/>
        <v>118.18631913500391</v>
      </c>
      <c r="P129" s="40">
        <f t="shared" si="35"/>
        <v>119.00388160311807</v>
      </c>
      <c r="Q129" s="40">
        <f t="shared" si="35"/>
        <v>119.70313622216902</v>
      </c>
      <c r="R129" s="40">
        <f t="shared" si="35"/>
        <v>120.28038872072646</v>
      </c>
    </row>
    <row r="130" spans="1:18" s="16" customFormat="1" ht="46.5" customHeight="1" hidden="1">
      <c r="A130" s="15"/>
      <c r="B130" s="47"/>
      <c r="C130" s="60" t="s">
        <v>191</v>
      </c>
      <c r="D130" s="49"/>
      <c r="E130" s="45"/>
      <c r="F130" s="45"/>
      <c r="G130" s="45"/>
      <c r="H130" s="45"/>
      <c r="I130" s="45">
        <v>893</v>
      </c>
      <c r="J130" s="45">
        <v>877</v>
      </c>
      <c r="K130" s="45">
        <v>826</v>
      </c>
      <c r="L130" s="45">
        <v>799</v>
      </c>
      <c r="M130" s="45">
        <v>755</v>
      </c>
      <c r="N130" s="45">
        <f>720+15</f>
        <v>735</v>
      </c>
      <c r="O130" s="45">
        <f>725+15</f>
        <v>740</v>
      </c>
      <c r="P130" s="45">
        <f>730+15</f>
        <v>745</v>
      </c>
      <c r="Q130" s="45">
        <f>735+15</f>
        <v>750</v>
      </c>
      <c r="R130" s="45">
        <f>740+15</f>
        <v>755</v>
      </c>
    </row>
    <row r="131" spans="1:18" s="17" customFormat="1" ht="41.25" customHeight="1">
      <c r="A131" s="8" t="e">
        <f>+A129+1</f>
        <v>#REF!</v>
      </c>
      <c r="B131" s="35">
        <f>+B129+1</f>
        <v>65</v>
      </c>
      <c r="C131" s="66" t="s">
        <v>73</v>
      </c>
      <c r="D131" s="67" t="s">
        <v>101</v>
      </c>
      <c r="E131" s="53">
        <v>3.3</v>
      </c>
      <c r="F131" s="53">
        <v>3</v>
      </c>
      <c r="G131" s="53">
        <v>5.1</v>
      </c>
      <c r="H131" s="53">
        <v>5.83</v>
      </c>
      <c r="I131" s="53">
        <f>I132*1000/I133</f>
        <v>5.1334446410326695</v>
      </c>
      <c r="J131" s="53">
        <f>J132*1000/J133</f>
        <v>4.513399153737659</v>
      </c>
      <c r="K131" s="53">
        <f>K132*1000/K133</f>
        <v>4.516998177351613</v>
      </c>
      <c r="L131" s="53">
        <f>L132*1000/L133</f>
        <v>5.425995450933107</v>
      </c>
      <c r="M131" s="53">
        <f aca="true" t="shared" si="36" ref="M131:R131">M132*1000/M133</f>
        <v>5.212882865113134</v>
      </c>
      <c r="N131" s="53">
        <f t="shared" si="36"/>
        <v>5.283600845376135</v>
      </c>
      <c r="O131" s="53">
        <f t="shared" si="36"/>
        <v>5.195704883962591</v>
      </c>
      <c r="P131" s="53">
        <f t="shared" si="36"/>
        <v>5.08957654723127</v>
      </c>
      <c r="Q131" s="53">
        <f t="shared" si="36"/>
        <v>4.981546115034837</v>
      </c>
      <c r="R131" s="53">
        <f t="shared" si="36"/>
        <v>4.871590889662947</v>
      </c>
    </row>
    <row r="132" spans="1:18" s="28" customFormat="1" ht="42" customHeight="1" hidden="1">
      <c r="A132" s="27"/>
      <c r="B132" s="70"/>
      <c r="C132" s="95" t="s">
        <v>228</v>
      </c>
      <c r="D132" s="49" t="s">
        <v>110</v>
      </c>
      <c r="E132" s="46"/>
      <c r="F132" s="46"/>
      <c r="G132" s="46"/>
      <c r="H132" s="46"/>
      <c r="I132" s="46">
        <v>206</v>
      </c>
      <c r="J132" s="46">
        <v>176</v>
      </c>
      <c r="K132" s="46">
        <v>171</v>
      </c>
      <c r="L132" s="46">
        <v>198</v>
      </c>
      <c r="M132" s="46">
        <v>185</v>
      </c>
      <c r="N132" s="46">
        <v>185</v>
      </c>
      <c r="O132" s="46">
        <v>180</v>
      </c>
      <c r="P132" s="46">
        <v>175</v>
      </c>
      <c r="Q132" s="46">
        <v>170</v>
      </c>
      <c r="R132" s="46">
        <v>165</v>
      </c>
    </row>
    <row r="133" spans="1:18" s="28" customFormat="1" ht="21.75" customHeight="1" hidden="1">
      <c r="A133" s="27"/>
      <c r="B133" s="70"/>
      <c r="C133" s="95" t="s">
        <v>227</v>
      </c>
      <c r="D133" s="49"/>
      <c r="E133" s="46"/>
      <c r="F133" s="46"/>
      <c r="G133" s="46"/>
      <c r="H133" s="46"/>
      <c r="I133" s="46">
        <v>40129</v>
      </c>
      <c r="J133" s="46">
        <v>38995</v>
      </c>
      <c r="K133" s="46">
        <v>37857</v>
      </c>
      <c r="L133" s="46">
        <v>36491</v>
      </c>
      <c r="M133" s="46">
        <v>35489</v>
      </c>
      <c r="N133" s="46">
        <v>35014</v>
      </c>
      <c r="O133" s="46">
        <v>34644</v>
      </c>
      <c r="P133" s="46">
        <v>34384</v>
      </c>
      <c r="Q133" s="46">
        <f>P133/O133*P133</f>
        <v>34125.9512758342</v>
      </c>
      <c r="R133" s="46">
        <f>Q133/P133*Q133</f>
        <v>33869.83918335883</v>
      </c>
    </row>
    <row r="134" spans="1:18" s="17" customFormat="1" ht="37.5" customHeight="1">
      <c r="A134" s="8" t="e">
        <f>+A131+1</f>
        <v>#REF!</v>
      </c>
      <c r="B134" s="35">
        <f>+B131+1</f>
        <v>66</v>
      </c>
      <c r="C134" s="66" t="s">
        <v>74</v>
      </c>
      <c r="D134" s="67" t="s">
        <v>101</v>
      </c>
      <c r="E134" s="40">
        <v>0.933</v>
      </c>
      <c r="F134" s="40">
        <v>1.02</v>
      </c>
      <c r="G134" s="40">
        <v>1.4</v>
      </c>
      <c r="H134" s="40">
        <v>1.5</v>
      </c>
      <c r="I134" s="40">
        <f aca="true" t="shared" si="37" ref="I134:R134">I135*1000/I133</f>
        <v>1.3954995140671336</v>
      </c>
      <c r="J134" s="40">
        <f t="shared" si="37"/>
        <v>1.2309270419284524</v>
      </c>
      <c r="K134" s="40">
        <f t="shared" si="37"/>
        <v>1.2150989249016033</v>
      </c>
      <c r="L134" s="40">
        <f t="shared" si="37"/>
        <v>1.6442410457373051</v>
      </c>
      <c r="M134" s="40">
        <f t="shared" si="37"/>
        <v>1.577953732142354</v>
      </c>
      <c r="N134" s="40">
        <f t="shared" si="37"/>
        <v>1.5708002513280401</v>
      </c>
      <c r="O134" s="40">
        <f t="shared" si="37"/>
        <v>1.5587114651887772</v>
      </c>
      <c r="P134" s="40">
        <f t="shared" si="37"/>
        <v>1.5414146114471847</v>
      </c>
      <c r="Q134" s="40">
        <f t="shared" si="37"/>
        <v>1.5237670469518323</v>
      </c>
      <c r="R134" s="40">
        <f t="shared" si="37"/>
        <v>1.4762396635342263</v>
      </c>
    </row>
    <row r="135" spans="1:18" s="17" customFormat="1" ht="49.5" customHeight="1" hidden="1">
      <c r="A135" s="8"/>
      <c r="B135" s="35"/>
      <c r="C135" s="95" t="s">
        <v>229</v>
      </c>
      <c r="D135" s="49" t="s">
        <v>110</v>
      </c>
      <c r="E135" s="46"/>
      <c r="F135" s="46"/>
      <c r="G135" s="46"/>
      <c r="H135" s="46"/>
      <c r="I135" s="46">
        <v>56</v>
      </c>
      <c r="J135" s="46">
        <v>48</v>
      </c>
      <c r="K135" s="46">
        <v>46</v>
      </c>
      <c r="L135" s="46">
        <v>60</v>
      </c>
      <c r="M135" s="46">
        <v>56</v>
      </c>
      <c r="N135" s="46">
        <v>55</v>
      </c>
      <c r="O135" s="46">
        <v>54</v>
      </c>
      <c r="P135" s="46">
        <v>53</v>
      </c>
      <c r="Q135" s="46">
        <v>52</v>
      </c>
      <c r="R135" s="46">
        <v>50</v>
      </c>
    </row>
    <row r="136" spans="1:18" s="4" customFormat="1" ht="57" customHeight="1">
      <c r="A136" s="8" t="e">
        <f>+#REF!+1</f>
        <v>#REF!</v>
      </c>
      <c r="B136" s="35">
        <f>+B134+1</f>
        <v>67</v>
      </c>
      <c r="C136" s="66" t="s">
        <v>50</v>
      </c>
      <c r="D136" s="67" t="s">
        <v>27</v>
      </c>
      <c r="E136" s="40">
        <v>6.3</v>
      </c>
      <c r="F136" s="40">
        <v>2.9</v>
      </c>
      <c r="G136" s="40">
        <v>5.6</v>
      </c>
      <c r="H136" s="40">
        <v>5.6</v>
      </c>
      <c r="I136" s="40">
        <v>6</v>
      </c>
      <c r="J136" s="40">
        <v>8.6</v>
      </c>
      <c r="K136" s="40">
        <v>12.7</v>
      </c>
      <c r="L136" s="40">
        <v>4.3</v>
      </c>
      <c r="M136" s="40">
        <v>4.4</v>
      </c>
      <c r="N136" s="40">
        <f>N137/N138*1000</f>
        <v>4.838709677419355</v>
      </c>
      <c r="O136" s="40">
        <f>O137/O138*1000</f>
        <v>4.838709677419355</v>
      </c>
      <c r="P136" s="40">
        <f>P137/P138*1000</f>
        <v>4.838709677419355</v>
      </c>
      <c r="Q136" s="40">
        <f>Q137/Q138*1000</f>
        <v>4.838709677419355</v>
      </c>
      <c r="R136" s="40">
        <f>R137/R138*1000</f>
        <v>4.838709677419355</v>
      </c>
    </row>
    <row r="137" spans="1:18" s="29" customFormat="1" ht="34.5" customHeight="1" hidden="1">
      <c r="A137" s="27"/>
      <c r="B137" s="70"/>
      <c r="C137" s="71" t="s">
        <v>194</v>
      </c>
      <c r="D137" s="49" t="s">
        <v>110</v>
      </c>
      <c r="E137" s="45"/>
      <c r="F137" s="45"/>
      <c r="G137" s="45"/>
      <c r="H137" s="45"/>
      <c r="I137" s="45">
        <v>4</v>
      </c>
      <c r="J137" s="45">
        <v>3</v>
      </c>
      <c r="K137" s="45">
        <v>9</v>
      </c>
      <c r="L137" s="45">
        <v>3</v>
      </c>
      <c r="M137" s="45">
        <v>3</v>
      </c>
      <c r="N137" s="45">
        <v>3</v>
      </c>
      <c r="O137" s="45">
        <v>3</v>
      </c>
      <c r="P137" s="45">
        <v>3</v>
      </c>
      <c r="Q137" s="45">
        <v>3</v>
      </c>
      <c r="R137" s="45">
        <v>3</v>
      </c>
    </row>
    <row r="138" spans="1:18" s="29" customFormat="1" ht="34.5" customHeight="1" hidden="1">
      <c r="A138" s="27"/>
      <c r="B138" s="70"/>
      <c r="C138" s="71" t="s">
        <v>195</v>
      </c>
      <c r="D138" s="49" t="s">
        <v>110</v>
      </c>
      <c r="E138" s="45"/>
      <c r="F138" s="45"/>
      <c r="G138" s="45"/>
      <c r="H138" s="45"/>
      <c r="I138" s="45"/>
      <c r="J138" s="45"/>
      <c r="K138" s="45"/>
      <c r="L138" s="45"/>
      <c r="M138" s="45">
        <v>620</v>
      </c>
      <c r="N138" s="45">
        <v>620</v>
      </c>
      <c r="O138" s="45">
        <v>620</v>
      </c>
      <c r="P138" s="45">
        <v>620</v>
      </c>
      <c r="Q138" s="45">
        <v>620</v>
      </c>
      <c r="R138" s="45">
        <v>620</v>
      </c>
    </row>
    <row r="139" spans="1:18" s="4" customFormat="1" ht="37.5" customHeight="1">
      <c r="A139" s="8" t="e">
        <f>+A136+1</f>
        <v>#REF!</v>
      </c>
      <c r="B139" s="35">
        <f>+B136+1</f>
        <v>68</v>
      </c>
      <c r="C139" s="66" t="s">
        <v>153</v>
      </c>
      <c r="D139" s="67" t="s">
        <v>51</v>
      </c>
      <c r="E139" s="40">
        <f aca="true" t="shared" si="38" ref="E139:R139">+E140/E5*1000</f>
        <v>0.8021702351088035</v>
      </c>
      <c r="F139" s="40">
        <f t="shared" si="38"/>
        <v>0.7148588518491502</v>
      </c>
      <c r="G139" s="40">
        <f t="shared" si="38"/>
        <v>0.8031659340819813</v>
      </c>
      <c r="H139" s="40">
        <f t="shared" si="38"/>
        <v>0.7260406582768635</v>
      </c>
      <c r="I139" s="40">
        <f t="shared" si="38"/>
        <v>0.7900454276120877</v>
      </c>
      <c r="J139" s="40">
        <f t="shared" si="38"/>
        <v>0.7346638912697441</v>
      </c>
      <c r="K139" s="40">
        <f t="shared" si="38"/>
        <v>1.020108502449806</v>
      </c>
      <c r="L139" s="40">
        <f t="shared" si="38"/>
        <v>0.7829014327096219</v>
      </c>
      <c r="M139" s="40">
        <f t="shared" si="38"/>
        <v>0.7912894853453187</v>
      </c>
      <c r="N139" s="40">
        <f t="shared" si="38"/>
        <v>0.7953804304598889</v>
      </c>
      <c r="O139" s="40">
        <f t="shared" si="38"/>
        <v>0.7817984555491736</v>
      </c>
      <c r="P139" s="40">
        <f t="shared" si="38"/>
        <v>0.7666751852798365</v>
      </c>
      <c r="Q139" s="40">
        <f t="shared" si="38"/>
        <v>0.7504510689935973</v>
      </c>
      <c r="R139" s="40">
        <f t="shared" si="38"/>
        <v>0.7335002312120295</v>
      </c>
    </row>
    <row r="140" spans="1:18" s="16" customFormat="1" ht="31.5" customHeight="1" hidden="1">
      <c r="A140" s="15"/>
      <c r="B140" s="47"/>
      <c r="C140" s="73" t="s">
        <v>192</v>
      </c>
      <c r="D140" s="49" t="s">
        <v>51</v>
      </c>
      <c r="E140" s="46">
        <v>55</v>
      </c>
      <c r="F140" s="46">
        <v>49</v>
      </c>
      <c r="G140" s="46">
        <v>55</v>
      </c>
      <c r="H140" s="46">
        <v>48</v>
      </c>
      <c r="I140" s="46">
        <v>52</v>
      </c>
      <c r="J140" s="46">
        <v>48</v>
      </c>
      <c r="K140" s="46">
        <v>66</v>
      </c>
      <c r="L140" s="46">
        <v>50</v>
      </c>
      <c r="M140" s="46">
        <v>50</v>
      </c>
      <c r="N140" s="46">
        <v>50</v>
      </c>
      <c r="O140" s="46">
        <v>49</v>
      </c>
      <c r="P140" s="46">
        <v>48</v>
      </c>
      <c r="Q140" s="46">
        <v>47</v>
      </c>
      <c r="R140" s="46">
        <v>46</v>
      </c>
    </row>
    <row r="141" spans="1:18" s="4" customFormat="1" ht="57" customHeight="1">
      <c r="A141" s="8" t="e">
        <f>+A139+1</f>
        <v>#REF!</v>
      </c>
      <c r="B141" s="35">
        <f>+B139+1</f>
        <v>69</v>
      </c>
      <c r="C141" s="66" t="s">
        <v>52</v>
      </c>
      <c r="D141" s="67" t="s">
        <v>53</v>
      </c>
      <c r="E141" s="40">
        <v>45.2</v>
      </c>
      <c r="F141" s="40">
        <v>20.4</v>
      </c>
      <c r="G141" s="40">
        <v>43.8</v>
      </c>
      <c r="H141" s="40">
        <f aca="true" t="shared" si="39" ref="H141:M141">+H142/H5*100000</f>
        <v>27.226524685382383</v>
      </c>
      <c r="I141" s="40">
        <f t="shared" si="39"/>
        <v>25.828408210395175</v>
      </c>
      <c r="J141" s="40">
        <f t="shared" si="39"/>
        <v>26.019346149136773</v>
      </c>
      <c r="K141" s="40">
        <f t="shared" si="39"/>
        <v>35.549235691432635</v>
      </c>
      <c r="L141" s="40">
        <f t="shared" si="39"/>
        <v>29.75025444296563</v>
      </c>
      <c r="M141" s="40">
        <f t="shared" si="39"/>
        <v>31.65157941381275</v>
      </c>
      <c r="N141" s="40">
        <v>29.8</v>
      </c>
      <c r="O141" s="40">
        <f>+O142/O5*100000</f>
        <v>31.910141042823412</v>
      </c>
      <c r="P141" s="40">
        <f>+P142/P5*100000</f>
        <v>31.94479938665985</v>
      </c>
      <c r="Q141" s="40">
        <f>+Q142/Q5*100000</f>
        <v>31.934088042280734</v>
      </c>
      <c r="R141" s="40">
        <f>+R142/R5*100000</f>
        <v>31.89131440052302</v>
      </c>
    </row>
    <row r="142" spans="1:18" s="16" customFormat="1" ht="51" customHeight="1" hidden="1">
      <c r="A142" s="15"/>
      <c r="B142" s="47"/>
      <c r="C142" s="96" t="s">
        <v>193</v>
      </c>
      <c r="D142" s="49"/>
      <c r="E142" s="45"/>
      <c r="F142" s="45"/>
      <c r="G142" s="44">
        <v>29</v>
      </c>
      <c r="H142" s="44">
        <v>18</v>
      </c>
      <c r="I142" s="44">
        <v>17</v>
      </c>
      <c r="J142" s="44">
        <v>17</v>
      </c>
      <c r="K142" s="44">
        <v>23</v>
      </c>
      <c r="L142" s="44">
        <v>19</v>
      </c>
      <c r="M142" s="44">
        <v>20</v>
      </c>
      <c r="N142" s="44">
        <v>20</v>
      </c>
      <c r="O142" s="44">
        <v>20</v>
      </c>
      <c r="P142" s="44">
        <v>20</v>
      </c>
      <c r="Q142" s="44">
        <v>20</v>
      </c>
      <c r="R142" s="44">
        <v>20</v>
      </c>
    </row>
    <row r="143" spans="1:18" s="4" customFormat="1" ht="56.25" customHeight="1">
      <c r="A143" s="8" t="e">
        <f>+A141+1</f>
        <v>#REF!</v>
      </c>
      <c r="B143" s="35">
        <f>+B141+1</f>
        <v>70</v>
      </c>
      <c r="C143" s="66" t="s">
        <v>54</v>
      </c>
      <c r="D143" s="67" t="s">
        <v>11</v>
      </c>
      <c r="E143" s="40">
        <v>93.8</v>
      </c>
      <c r="F143" s="40">
        <v>96</v>
      </c>
      <c r="G143" s="40">
        <v>94</v>
      </c>
      <c r="H143" s="40">
        <v>94.2</v>
      </c>
      <c r="I143" s="40">
        <v>89.3</v>
      </c>
      <c r="J143" s="40">
        <v>86.9</v>
      </c>
      <c r="K143" s="40">
        <v>89.8</v>
      </c>
      <c r="L143" s="40">
        <v>86.6</v>
      </c>
      <c r="M143" s="40">
        <v>86.6</v>
      </c>
      <c r="N143" s="40">
        <f>N144/N145*100</f>
        <v>87.38738738738738</v>
      </c>
      <c r="O143" s="40">
        <f>O144/O145*100</f>
        <v>87.5</v>
      </c>
      <c r="P143" s="40">
        <f>P144/P145*100</f>
        <v>88.39285714285714</v>
      </c>
      <c r="Q143" s="40">
        <f>Q144/Q145*100</f>
        <v>88.49557522123894</v>
      </c>
      <c r="R143" s="40">
        <f>R144/R145*100</f>
        <v>90.2654867256637</v>
      </c>
    </row>
    <row r="144" spans="1:18" s="29" customFormat="1" ht="56.25" customHeight="1" hidden="1">
      <c r="A144" s="27"/>
      <c r="B144" s="70"/>
      <c r="C144" s="71" t="s">
        <v>196</v>
      </c>
      <c r="D144" s="49" t="s">
        <v>110</v>
      </c>
      <c r="E144" s="45"/>
      <c r="F144" s="45"/>
      <c r="G144" s="45"/>
      <c r="H144" s="45"/>
      <c r="I144" s="45">
        <v>576</v>
      </c>
      <c r="J144" s="45">
        <v>549</v>
      </c>
      <c r="K144" s="45">
        <v>554</v>
      </c>
      <c r="L144" s="45">
        <v>480</v>
      </c>
      <c r="M144" s="45">
        <v>485</v>
      </c>
      <c r="N144" s="45">
        <v>485</v>
      </c>
      <c r="O144" s="45">
        <v>490</v>
      </c>
      <c r="P144" s="45">
        <v>495</v>
      </c>
      <c r="Q144" s="45">
        <v>500</v>
      </c>
      <c r="R144" s="45">
        <v>510</v>
      </c>
    </row>
    <row r="145" spans="1:18" s="29" customFormat="1" ht="33.75" customHeight="1" hidden="1">
      <c r="A145" s="27"/>
      <c r="B145" s="70"/>
      <c r="C145" s="71" t="s">
        <v>197</v>
      </c>
      <c r="D145" s="49" t="s">
        <v>110</v>
      </c>
      <c r="E145" s="45"/>
      <c r="F145" s="45"/>
      <c r="G145" s="45"/>
      <c r="H145" s="45"/>
      <c r="I145" s="45">
        <v>645</v>
      </c>
      <c r="J145" s="45">
        <v>632</v>
      </c>
      <c r="K145" s="45">
        <v>617</v>
      </c>
      <c r="L145" s="45">
        <v>554</v>
      </c>
      <c r="M145" s="45">
        <v>555</v>
      </c>
      <c r="N145" s="45">
        <v>555</v>
      </c>
      <c r="O145" s="45">
        <v>560</v>
      </c>
      <c r="P145" s="45">
        <v>560</v>
      </c>
      <c r="Q145" s="45">
        <v>565</v>
      </c>
      <c r="R145" s="45">
        <v>565</v>
      </c>
    </row>
    <row r="146" spans="1:18" s="4" customFormat="1" ht="38.25" customHeight="1">
      <c r="A146" s="8" t="e">
        <f>+A143+1</f>
        <v>#REF!</v>
      </c>
      <c r="B146" s="35">
        <f>+B143+1</f>
        <v>71</v>
      </c>
      <c r="C146" s="66" t="s">
        <v>55</v>
      </c>
      <c r="D146" s="67" t="s">
        <v>11</v>
      </c>
      <c r="E146" s="40">
        <v>30.4</v>
      </c>
      <c r="F146" s="40">
        <v>30.3</v>
      </c>
      <c r="G146" s="40">
        <v>32.7</v>
      </c>
      <c r="H146" s="40">
        <v>41.3</v>
      </c>
      <c r="I146" s="40">
        <v>44.2</v>
      </c>
      <c r="J146" s="40">
        <v>40.5</v>
      </c>
      <c r="K146" s="40">
        <v>42.2</v>
      </c>
      <c r="L146" s="40">
        <v>37</v>
      </c>
      <c r="M146" s="40">
        <f aca="true" t="shared" si="40" ref="M146:R146">M147*1000/M148</f>
        <v>36.82324840764331</v>
      </c>
      <c r="N146" s="40">
        <f t="shared" si="40"/>
        <v>36.49150743099788</v>
      </c>
      <c r="O146" s="40">
        <f t="shared" si="40"/>
        <v>36.15976645435244</v>
      </c>
      <c r="P146" s="40">
        <f t="shared" si="40"/>
        <v>35.82802547770701</v>
      </c>
      <c r="Q146" s="40">
        <f t="shared" si="40"/>
        <v>35.496284501061574</v>
      </c>
      <c r="R146" s="40">
        <f t="shared" si="40"/>
        <v>35.16454352441614</v>
      </c>
    </row>
    <row r="147" spans="1:18" s="29" customFormat="1" ht="27.75" customHeight="1" hidden="1">
      <c r="A147" s="27"/>
      <c r="B147" s="70"/>
      <c r="C147" s="71" t="s">
        <v>198</v>
      </c>
      <c r="D147" s="49" t="s">
        <v>28</v>
      </c>
      <c r="E147" s="45"/>
      <c r="F147" s="45"/>
      <c r="G147" s="45"/>
      <c r="H147" s="45"/>
      <c r="I147" s="45">
        <v>766</v>
      </c>
      <c r="J147" s="45">
        <v>635</v>
      </c>
      <c r="K147" s="45">
        <v>640</v>
      </c>
      <c r="L147" s="45">
        <v>558</v>
      </c>
      <c r="M147" s="45">
        <f>60+495</f>
        <v>555</v>
      </c>
      <c r="N147" s="45">
        <f>490+60</f>
        <v>550</v>
      </c>
      <c r="O147" s="45">
        <f>485+60</f>
        <v>545</v>
      </c>
      <c r="P147" s="45">
        <f>60+480</f>
        <v>540</v>
      </c>
      <c r="Q147" s="45">
        <f>475+60</f>
        <v>535</v>
      </c>
      <c r="R147" s="45">
        <f>470+60</f>
        <v>530</v>
      </c>
    </row>
    <row r="148" spans="1:18" s="29" customFormat="1" ht="27.75" customHeight="1" hidden="1">
      <c r="A148" s="27"/>
      <c r="B148" s="70"/>
      <c r="C148" s="71" t="s">
        <v>226</v>
      </c>
      <c r="D148" s="49"/>
      <c r="E148" s="45"/>
      <c r="F148" s="45"/>
      <c r="G148" s="45"/>
      <c r="H148" s="45"/>
      <c r="I148" s="45"/>
      <c r="J148" s="45"/>
      <c r="K148" s="45"/>
      <c r="L148" s="45"/>
      <c r="M148" s="45">
        <v>15072</v>
      </c>
      <c r="N148" s="45">
        <v>15072</v>
      </c>
      <c r="O148" s="45">
        <v>15072</v>
      </c>
      <c r="P148" s="45">
        <v>15072</v>
      </c>
      <c r="Q148" s="45">
        <v>15072</v>
      </c>
      <c r="R148" s="45">
        <v>15072</v>
      </c>
    </row>
    <row r="149" spans="1:18" s="4" customFormat="1" ht="38.25" customHeight="1">
      <c r="A149" s="8" t="e">
        <f>+A134+1</f>
        <v>#REF!</v>
      </c>
      <c r="B149" s="35">
        <f>+B146+1</f>
        <v>72</v>
      </c>
      <c r="C149" s="66" t="s">
        <v>75</v>
      </c>
      <c r="D149" s="67" t="s">
        <v>11</v>
      </c>
      <c r="E149" s="40">
        <v>26.08</v>
      </c>
      <c r="F149" s="40">
        <v>25.952985169174305</v>
      </c>
      <c r="G149" s="40">
        <v>25.37082055889589</v>
      </c>
      <c r="H149" s="40">
        <f>+H150/(H5*0.19)*100</f>
        <v>26.279169001885155</v>
      </c>
      <c r="I149" s="40">
        <v>26.7</v>
      </c>
      <c r="J149" s="40">
        <f>+J150/(J5*0.19)*100</f>
        <v>24.263241672198127</v>
      </c>
      <c r="K149" s="40">
        <f>+K150/(K5*0.19)*100</f>
        <v>26.64158967721782</v>
      </c>
      <c r="L149" s="40">
        <v>26.9</v>
      </c>
      <c r="M149" s="40">
        <v>26.9</v>
      </c>
      <c r="N149" s="40">
        <v>26.9</v>
      </c>
      <c r="O149" s="40">
        <f>+O150/(O5*0.19)*100</f>
        <v>27.703040868493268</v>
      </c>
      <c r="P149" s="40">
        <f>+P150/(P5*0.19)*100</f>
        <v>27.73312978331338</v>
      </c>
      <c r="Q149" s="40">
        <f>+Q150/(Q5*0.19)*100</f>
        <v>27.723830645127407</v>
      </c>
      <c r="R149" s="40">
        <f>+R150/(R5*0.19)*100</f>
        <v>27.686696370348802</v>
      </c>
    </row>
    <row r="150" spans="1:18" s="50" customFormat="1" ht="21.75" customHeight="1" hidden="1">
      <c r="A150" s="47"/>
      <c r="B150" s="47"/>
      <c r="C150" s="48" t="s">
        <v>142</v>
      </c>
      <c r="D150" s="49"/>
      <c r="E150" s="49">
        <v>3398</v>
      </c>
      <c r="F150" s="49">
        <v>3380</v>
      </c>
      <c r="G150" s="49">
        <v>3301</v>
      </c>
      <c r="H150" s="49">
        <v>3301</v>
      </c>
      <c r="I150" s="49">
        <v>3407</v>
      </c>
      <c r="J150" s="49">
        <v>3012</v>
      </c>
      <c r="K150" s="49">
        <v>3275</v>
      </c>
      <c r="L150" s="49">
        <v>3407</v>
      </c>
      <c r="M150" s="49">
        <v>3407</v>
      </c>
      <c r="N150" s="49">
        <v>3299</v>
      </c>
      <c r="O150" s="49">
        <v>3299</v>
      </c>
      <c r="P150" s="49">
        <v>3299</v>
      </c>
      <c r="Q150" s="49">
        <v>3299</v>
      </c>
      <c r="R150" s="49">
        <v>3299</v>
      </c>
    </row>
    <row r="151" spans="1:18" s="4" customFormat="1" ht="42" customHeight="1">
      <c r="A151" s="8" t="e">
        <f>+A149+1</f>
        <v>#REF!</v>
      </c>
      <c r="B151" s="35">
        <f>+B149+1</f>
        <v>73</v>
      </c>
      <c r="C151" s="66" t="s">
        <v>76</v>
      </c>
      <c r="D151" s="67" t="s">
        <v>27</v>
      </c>
      <c r="E151" s="75">
        <v>7364</v>
      </c>
      <c r="F151" s="75">
        <v>8284</v>
      </c>
      <c r="G151" s="75">
        <v>10500</v>
      </c>
      <c r="H151" s="75">
        <v>10719</v>
      </c>
      <c r="I151" s="75">
        <v>11625</v>
      </c>
      <c r="J151" s="75">
        <v>12724</v>
      </c>
      <c r="K151" s="75">
        <v>14724</v>
      </c>
      <c r="L151" s="75">
        <v>16071</v>
      </c>
      <c r="M151" s="75">
        <v>16890</v>
      </c>
      <c r="N151" s="75">
        <v>17838</v>
      </c>
      <c r="O151" s="75">
        <v>18773</v>
      </c>
      <c r="P151" s="75">
        <v>19944</v>
      </c>
      <c r="Q151" s="52">
        <f>P151/O151*P151</f>
        <v>21188.04325360891</v>
      </c>
      <c r="R151" s="52">
        <f>Q151/P151*Q151</f>
        <v>22509.68596654643</v>
      </c>
    </row>
    <row r="152" spans="1:18" s="9" customFormat="1" ht="60" customHeight="1">
      <c r="A152" s="8" t="e">
        <f>+A151+1</f>
        <v>#REF!</v>
      </c>
      <c r="B152" s="35">
        <f>+B151+1</f>
        <v>74</v>
      </c>
      <c r="C152" s="66" t="s">
        <v>230</v>
      </c>
      <c r="D152" s="67" t="s">
        <v>11</v>
      </c>
      <c r="E152" s="40">
        <v>10.749266498314041</v>
      </c>
      <c r="F152" s="40">
        <v>12.078795036670895</v>
      </c>
      <c r="G152" s="40">
        <v>15.3</v>
      </c>
      <c r="H152" s="40">
        <v>15.7</v>
      </c>
      <c r="I152" s="40">
        <f>+I151/I5*100</f>
        <v>17.66207326152023</v>
      </c>
      <c r="J152" s="40">
        <v>19.6</v>
      </c>
      <c r="K152" s="40">
        <v>22.9</v>
      </c>
      <c r="L152" s="40">
        <v>25.4</v>
      </c>
      <c r="M152" s="40">
        <v>26.9</v>
      </c>
      <c r="N152" s="40">
        <v>28.5</v>
      </c>
      <c r="O152" s="40">
        <v>30</v>
      </c>
      <c r="P152" s="40">
        <v>31.9</v>
      </c>
      <c r="Q152" s="40">
        <v>33.8</v>
      </c>
      <c r="R152" s="40">
        <v>35.9</v>
      </c>
    </row>
    <row r="153" spans="1:18" s="9" customFormat="1" ht="79.5" customHeight="1">
      <c r="A153" s="8" t="e">
        <f>+A152+1</f>
        <v>#REF!</v>
      </c>
      <c r="B153" s="35" t="s">
        <v>231</v>
      </c>
      <c r="C153" s="66" t="s">
        <v>232</v>
      </c>
      <c r="D153" s="67" t="s">
        <v>11</v>
      </c>
      <c r="E153" s="40" t="s">
        <v>224</v>
      </c>
      <c r="F153" s="40" t="s">
        <v>224</v>
      </c>
      <c r="G153" s="40" t="s">
        <v>224</v>
      </c>
      <c r="H153" s="40" t="s">
        <v>224</v>
      </c>
      <c r="I153" s="40" t="s">
        <v>224</v>
      </c>
      <c r="J153" s="40" t="s">
        <v>224</v>
      </c>
      <c r="K153" s="40" t="s">
        <v>224</v>
      </c>
      <c r="L153" s="40">
        <v>26.5</v>
      </c>
      <c r="M153" s="40">
        <v>28.4</v>
      </c>
      <c r="N153" s="40">
        <v>30.2</v>
      </c>
      <c r="O153" s="40">
        <v>32</v>
      </c>
      <c r="P153" s="40">
        <v>34</v>
      </c>
      <c r="Q153" s="40">
        <v>36</v>
      </c>
      <c r="R153" s="40">
        <v>38</v>
      </c>
    </row>
    <row r="154" spans="1:18" s="9" customFormat="1" ht="42" customHeight="1">
      <c r="A154" s="8" t="e">
        <f>+A152+1</f>
        <v>#REF!</v>
      </c>
      <c r="B154" s="35">
        <f>+B152+1</f>
        <v>75</v>
      </c>
      <c r="C154" s="66" t="s">
        <v>154</v>
      </c>
      <c r="D154" s="67" t="s">
        <v>11</v>
      </c>
      <c r="E154" s="40">
        <v>0.9</v>
      </c>
      <c r="F154" s="40">
        <v>1.2260127931769722</v>
      </c>
      <c r="G154" s="40">
        <v>2.109389583722233</v>
      </c>
      <c r="H154" s="40">
        <v>2.1</v>
      </c>
      <c r="I154" s="40">
        <v>2.9</v>
      </c>
      <c r="J154" s="40">
        <v>3.4</v>
      </c>
      <c r="K154" s="40">
        <v>6.9</v>
      </c>
      <c r="L154" s="40">
        <v>8.1</v>
      </c>
      <c r="M154" s="40">
        <v>8</v>
      </c>
      <c r="N154" s="40">
        <v>8</v>
      </c>
      <c r="O154" s="40">
        <v>8</v>
      </c>
      <c r="P154" s="40">
        <v>8</v>
      </c>
      <c r="Q154" s="40">
        <v>9</v>
      </c>
      <c r="R154" s="40">
        <v>10</v>
      </c>
    </row>
    <row r="155" spans="1:18" s="17" customFormat="1" ht="78.75" customHeight="1">
      <c r="A155" s="8" t="e">
        <f aca="true" t="shared" si="41" ref="A155:B159">+A154+1</f>
        <v>#REF!</v>
      </c>
      <c r="B155" s="35">
        <f t="shared" si="41"/>
        <v>76</v>
      </c>
      <c r="C155" s="66" t="s">
        <v>77</v>
      </c>
      <c r="D155" s="67" t="s">
        <v>11</v>
      </c>
      <c r="E155" s="40">
        <v>79.6</v>
      </c>
      <c r="F155" s="40">
        <v>76.4</v>
      </c>
      <c r="G155" s="40">
        <v>75.6</v>
      </c>
      <c r="H155" s="40">
        <v>100</v>
      </c>
      <c r="I155" s="40">
        <v>99.7</v>
      </c>
      <c r="J155" s="40">
        <v>100</v>
      </c>
      <c r="K155" s="40">
        <v>99.8</v>
      </c>
      <c r="L155" s="40">
        <v>99.8</v>
      </c>
      <c r="M155" s="40">
        <v>99.8</v>
      </c>
      <c r="N155" s="40">
        <v>99.8</v>
      </c>
      <c r="O155" s="40">
        <v>99.9</v>
      </c>
      <c r="P155" s="40">
        <v>100</v>
      </c>
      <c r="Q155" s="40">
        <v>100</v>
      </c>
      <c r="R155" s="40">
        <v>100</v>
      </c>
    </row>
    <row r="156" spans="1:18" s="4" customFormat="1" ht="75" customHeight="1">
      <c r="A156" s="8" t="e">
        <f t="shared" si="41"/>
        <v>#REF!</v>
      </c>
      <c r="B156" s="35">
        <f t="shared" si="41"/>
        <v>77</v>
      </c>
      <c r="C156" s="66" t="s">
        <v>78</v>
      </c>
      <c r="D156" s="67" t="s">
        <v>11</v>
      </c>
      <c r="E156" s="40">
        <v>19.47</v>
      </c>
      <c r="F156" s="40">
        <v>17.99</v>
      </c>
      <c r="G156" s="40">
        <v>17.0763008477872</v>
      </c>
      <c r="H156" s="40">
        <v>14.54849498327759</v>
      </c>
      <c r="I156" s="40">
        <v>8.6</v>
      </c>
      <c r="J156" s="40">
        <v>7.46</v>
      </c>
      <c r="K156" s="40">
        <v>6.8</v>
      </c>
      <c r="L156" s="40">
        <v>5.92</v>
      </c>
      <c r="M156" s="40">
        <v>5.81</v>
      </c>
      <c r="N156" s="40">
        <v>6.1</v>
      </c>
      <c r="O156" s="40">
        <v>5.9</v>
      </c>
      <c r="P156" s="40">
        <v>5.7</v>
      </c>
      <c r="Q156" s="40">
        <v>5.5</v>
      </c>
      <c r="R156" s="40">
        <v>5.3</v>
      </c>
    </row>
    <row r="157" spans="1:18" s="4" customFormat="1" ht="60.75" customHeight="1">
      <c r="A157" s="8" t="e">
        <f t="shared" si="41"/>
        <v>#REF!</v>
      </c>
      <c r="B157" s="35">
        <f t="shared" si="41"/>
        <v>78</v>
      </c>
      <c r="C157" s="66" t="s">
        <v>79</v>
      </c>
      <c r="D157" s="67" t="s">
        <v>80</v>
      </c>
      <c r="E157" s="40">
        <v>448</v>
      </c>
      <c r="F157" s="40">
        <v>528</v>
      </c>
      <c r="G157" s="40">
        <v>413</v>
      </c>
      <c r="H157" s="40">
        <v>512</v>
      </c>
      <c r="I157" s="40">
        <v>523.4</v>
      </c>
      <c r="J157" s="40">
        <v>502</v>
      </c>
      <c r="K157" s="40">
        <v>515.6</v>
      </c>
      <c r="L157" s="40">
        <v>381.4</v>
      </c>
      <c r="M157" s="40">
        <v>269</v>
      </c>
      <c r="N157" s="40">
        <v>269</v>
      </c>
      <c r="O157" s="40">
        <v>269</v>
      </c>
      <c r="P157" s="40">
        <v>269</v>
      </c>
      <c r="Q157" s="40">
        <v>269</v>
      </c>
      <c r="R157" s="40">
        <v>269</v>
      </c>
    </row>
    <row r="158" spans="1:18" s="4" customFormat="1" ht="99" customHeight="1">
      <c r="A158" s="8" t="e">
        <f t="shared" si="41"/>
        <v>#REF!</v>
      </c>
      <c r="B158" s="35">
        <f t="shared" si="41"/>
        <v>79</v>
      </c>
      <c r="C158" s="66" t="s">
        <v>81</v>
      </c>
      <c r="D158" s="67" t="s">
        <v>11</v>
      </c>
      <c r="E158" s="40">
        <v>97.3</v>
      </c>
      <c r="F158" s="40">
        <v>96.2</v>
      </c>
      <c r="G158" s="40">
        <v>98.3</v>
      </c>
      <c r="H158" s="40">
        <v>97.8</v>
      </c>
      <c r="I158" s="40">
        <v>96.5</v>
      </c>
      <c r="J158" s="40">
        <v>100</v>
      </c>
      <c r="K158" s="40">
        <v>100</v>
      </c>
      <c r="L158" s="40">
        <v>100</v>
      </c>
      <c r="M158" s="40">
        <v>100</v>
      </c>
      <c r="N158" s="40">
        <v>100</v>
      </c>
      <c r="O158" s="40">
        <v>100</v>
      </c>
      <c r="P158" s="40">
        <v>100</v>
      </c>
      <c r="Q158" s="40">
        <v>100</v>
      </c>
      <c r="R158" s="40">
        <v>100</v>
      </c>
    </row>
    <row r="159" spans="1:18" s="4" customFormat="1" ht="87.75" customHeight="1">
      <c r="A159" s="8" t="e">
        <f t="shared" si="41"/>
        <v>#REF!</v>
      </c>
      <c r="B159" s="35">
        <f t="shared" si="41"/>
        <v>80</v>
      </c>
      <c r="C159" s="66" t="s">
        <v>176</v>
      </c>
      <c r="D159" s="67" t="s">
        <v>11</v>
      </c>
      <c r="E159" s="40" t="s">
        <v>177</v>
      </c>
      <c r="F159" s="40" t="s">
        <v>177</v>
      </c>
      <c r="G159" s="40" t="s">
        <v>177</v>
      </c>
      <c r="H159" s="40">
        <v>26.1</v>
      </c>
      <c r="I159" s="40">
        <v>9</v>
      </c>
      <c r="J159" s="40">
        <v>11.9</v>
      </c>
      <c r="K159" s="40">
        <v>8.3</v>
      </c>
      <c r="L159" s="40">
        <v>16.8</v>
      </c>
      <c r="M159" s="40">
        <v>9.1</v>
      </c>
      <c r="N159" s="40">
        <v>9.1</v>
      </c>
      <c r="O159" s="40">
        <v>9.1</v>
      </c>
      <c r="P159" s="40">
        <v>9.1</v>
      </c>
      <c r="Q159" s="40">
        <v>9.1</v>
      </c>
      <c r="R159" s="40">
        <v>9.1</v>
      </c>
    </row>
    <row r="160" spans="1:18" s="4" customFormat="1" ht="24" customHeight="1">
      <c r="A160" s="8"/>
      <c r="B160" s="35"/>
      <c r="C160" s="114" t="s">
        <v>155</v>
      </c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</row>
    <row r="161" spans="1:18" s="4" customFormat="1" ht="39.75" customHeight="1">
      <c r="A161" s="8">
        <v>70</v>
      </c>
      <c r="B161" s="35">
        <f>+B159+1</f>
        <v>81</v>
      </c>
      <c r="C161" s="66" t="s">
        <v>82</v>
      </c>
      <c r="D161" s="67" t="s">
        <v>11</v>
      </c>
      <c r="E161" s="40">
        <v>80</v>
      </c>
      <c r="F161" s="40">
        <v>80</v>
      </c>
      <c r="G161" s="40">
        <v>20</v>
      </c>
      <c r="H161" s="40">
        <v>100</v>
      </c>
      <c r="I161" s="40">
        <v>100</v>
      </c>
      <c r="J161" s="40">
        <v>80</v>
      </c>
      <c r="K161" s="40">
        <v>60</v>
      </c>
      <c r="L161" s="40">
        <v>60</v>
      </c>
      <c r="M161" s="40">
        <v>40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</row>
    <row r="162" spans="1:18" s="4" customFormat="1" ht="39.75" customHeight="1">
      <c r="A162" s="8">
        <f>+A161+1</f>
        <v>71</v>
      </c>
      <c r="B162" s="35">
        <f>+B161+1</f>
        <v>82</v>
      </c>
      <c r="C162" s="66" t="s">
        <v>83</v>
      </c>
      <c r="D162" s="67" t="s">
        <v>11</v>
      </c>
      <c r="E162" s="40">
        <v>133.3</v>
      </c>
      <c r="F162" s="40">
        <v>300</v>
      </c>
      <c r="G162" s="40">
        <v>33.3</v>
      </c>
      <c r="H162" s="40">
        <v>100</v>
      </c>
      <c r="I162" s="40">
        <v>100</v>
      </c>
      <c r="J162" s="40">
        <v>100</v>
      </c>
      <c r="K162" s="40">
        <v>100</v>
      </c>
      <c r="L162" s="40">
        <v>100</v>
      </c>
      <c r="M162" s="40">
        <v>66.7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</row>
    <row r="163" spans="1:18" s="4" customFormat="1" ht="24" customHeight="1">
      <c r="A163" s="8"/>
      <c r="B163" s="35"/>
      <c r="C163" s="114" t="s">
        <v>156</v>
      </c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</row>
    <row r="164" spans="1:18" s="4" customFormat="1" ht="87.75" customHeight="1">
      <c r="A164" s="8">
        <v>72</v>
      </c>
      <c r="B164" s="35">
        <f>+B162+1</f>
        <v>83</v>
      </c>
      <c r="C164" s="66" t="s">
        <v>84</v>
      </c>
      <c r="D164" s="67" t="s">
        <v>11</v>
      </c>
      <c r="E164" s="40">
        <v>92.64</v>
      </c>
      <c r="F164" s="40">
        <v>84.65</v>
      </c>
      <c r="G164" s="40">
        <v>82</v>
      </c>
      <c r="H164" s="40">
        <v>81.4</v>
      </c>
      <c r="I164" s="40">
        <v>82</v>
      </c>
      <c r="J164" s="40">
        <v>81.3</v>
      </c>
      <c r="K164" s="40">
        <v>80.6</v>
      </c>
      <c r="L164" s="40">
        <v>85.5</v>
      </c>
      <c r="M164" s="40">
        <v>81.4</v>
      </c>
      <c r="N164" s="40">
        <v>81.8</v>
      </c>
      <c r="O164" s="40">
        <v>81.8</v>
      </c>
      <c r="P164" s="40">
        <v>81.8</v>
      </c>
      <c r="Q164" s="40">
        <v>81.1</v>
      </c>
      <c r="R164" s="40">
        <v>81.8</v>
      </c>
    </row>
    <row r="165" spans="1:18" s="4" customFormat="1" ht="49.5" customHeight="1">
      <c r="A165" s="8">
        <f>+A164+1</f>
        <v>73</v>
      </c>
      <c r="B165" s="35">
        <f>+B164+1</f>
        <v>84</v>
      </c>
      <c r="C165" s="66" t="s">
        <v>166</v>
      </c>
      <c r="D165" s="67" t="s">
        <v>85</v>
      </c>
      <c r="E165" s="40">
        <v>16</v>
      </c>
      <c r="F165" s="40">
        <v>16</v>
      </c>
      <c r="G165" s="40">
        <v>16.8</v>
      </c>
      <c r="H165" s="40">
        <v>16.054</v>
      </c>
      <c r="I165" s="40">
        <v>16</v>
      </c>
      <c r="J165" s="40">
        <v>24.7</v>
      </c>
      <c r="K165" s="40">
        <v>21.7</v>
      </c>
      <c r="L165" s="40">
        <v>21.5</v>
      </c>
      <c r="M165" s="40">
        <v>21.5</v>
      </c>
      <c r="N165" s="40">
        <v>21.5</v>
      </c>
      <c r="O165" s="40">
        <v>21.5</v>
      </c>
      <c r="P165" s="40">
        <v>21.5</v>
      </c>
      <c r="Q165" s="40">
        <v>21.5</v>
      </c>
      <c r="R165" s="40">
        <v>21.5</v>
      </c>
    </row>
    <row r="166" spans="1:18" s="4" customFormat="1" ht="48" customHeight="1">
      <c r="A166" s="8">
        <f>+A165+1</f>
        <v>74</v>
      </c>
      <c r="B166" s="35">
        <f>+B165+1</f>
        <v>85</v>
      </c>
      <c r="C166" s="66" t="s">
        <v>86</v>
      </c>
      <c r="D166" s="67" t="s">
        <v>87</v>
      </c>
      <c r="E166" s="40">
        <v>44.73</v>
      </c>
      <c r="F166" s="40">
        <v>48.62</v>
      </c>
      <c r="G166" s="40">
        <v>47.1</v>
      </c>
      <c r="H166" s="40">
        <v>47.2</v>
      </c>
      <c r="I166" s="40">
        <v>46.9</v>
      </c>
      <c r="J166" s="40">
        <v>43.3</v>
      </c>
      <c r="K166" s="40">
        <v>44.1</v>
      </c>
      <c r="L166" s="40">
        <v>34.8</v>
      </c>
      <c r="M166" s="40">
        <v>34.8</v>
      </c>
      <c r="N166" s="40">
        <v>34.8</v>
      </c>
      <c r="O166" s="40">
        <v>34</v>
      </c>
      <c r="P166" s="40">
        <v>34</v>
      </c>
      <c r="Q166" s="40">
        <v>34</v>
      </c>
      <c r="R166" s="40">
        <v>34</v>
      </c>
    </row>
    <row r="167" spans="1:18" s="4" customFormat="1" ht="18.75" customHeight="1">
      <c r="A167" s="8"/>
      <c r="B167" s="35"/>
      <c r="C167" s="121" t="s">
        <v>88</v>
      </c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3"/>
    </row>
    <row r="168" spans="1:18" s="4" customFormat="1" ht="18.75" customHeight="1">
      <c r="A168" s="8">
        <v>75</v>
      </c>
      <c r="B168" s="35"/>
      <c r="C168" s="114" t="s">
        <v>89</v>
      </c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20"/>
    </row>
    <row r="169" spans="1:18" s="4" customFormat="1" ht="41.25" customHeight="1">
      <c r="A169" s="8">
        <f>+A168+1</f>
        <v>76</v>
      </c>
      <c r="B169" s="35">
        <f>+B166+1</f>
        <v>86</v>
      </c>
      <c r="C169" s="66" t="s">
        <v>165</v>
      </c>
      <c r="D169" s="67" t="s">
        <v>114</v>
      </c>
      <c r="E169" s="40">
        <v>19285</v>
      </c>
      <c r="F169" s="40">
        <f>10.255*1000</f>
        <v>10255</v>
      </c>
      <c r="G169" s="40">
        <f>9.9422*1000</f>
        <v>9942.199999999999</v>
      </c>
      <c r="H169" s="40">
        <v>5059.1</v>
      </c>
      <c r="I169" s="40">
        <v>10844.8</v>
      </c>
      <c r="J169" s="97">
        <v>8403</v>
      </c>
      <c r="K169" s="97">
        <v>13372</v>
      </c>
      <c r="L169" s="76">
        <v>8669</v>
      </c>
      <c r="M169" s="76">
        <v>5044.1</v>
      </c>
      <c r="N169" s="40">
        <v>2850</v>
      </c>
      <c r="O169" s="97">
        <v>2750</v>
      </c>
      <c r="P169" s="97">
        <v>1500</v>
      </c>
      <c r="Q169" s="76">
        <v>1500</v>
      </c>
      <c r="R169" s="76">
        <v>1500</v>
      </c>
    </row>
    <row r="170" spans="1:18" s="4" customFormat="1" ht="38.25" customHeight="1">
      <c r="A170" s="8">
        <f>+A169+1</f>
        <v>77</v>
      </c>
      <c r="B170" s="35">
        <f>+B169+1</f>
        <v>87</v>
      </c>
      <c r="C170" s="66" t="s">
        <v>145</v>
      </c>
      <c r="D170" s="67" t="s">
        <v>90</v>
      </c>
      <c r="E170" s="53">
        <v>0.28148882795636193</v>
      </c>
      <c r="F170" s="53">
        <v>0.14960974542271502</v>
      </c>
      <c r="G170" s="53">
        <v>0.14518611545145227</v>
      </c>
      <c r="H170" s="53">
        <f>+H169/H5</f>
        <v>0.07652317279767668</v>
      </c>
      <c r="I170" s="53">
        <f>+I169/I5</f>
        <v>0.16476701256476092</v>
      </c>
      <c r="J170" s="53">
        <f>+J169/J5</f>
        <v>0.12861209746540958</v>
      </c>
      <c r="K170" s="53">
        <f>+K169/K5</f>
        <v>0.20668016507210313</v>
      </c>
      <c r="L170" s="53">
        <f>+L169/L5</f>
        <v>0.13573945040319424</v>
      </c>
      <c r="M170" s="53">
        <v>0.11</v>
      </c>
      <c r="N170" s="53">
        <f>+N169/N5</f>
        <v>0.04533668453621367</v>
      </c>
      <c r="O170" s="53">
        <f>+O169/O5</f>
        <v>0.04387644393388219</v>
      </c>
      <c r="P170" s="53">
        <f>+P169/P5</f>
        <v>0.02395859953999489</v>
      </c>
      <c r="Q170" s="53">
        <f>+Q169/Q5</f>
        <v>0.02395056603171055</v>
      </c>
      <c r="R170" s="53">
        <f>+R169/R5</f>
        <v>0.023918485800392263</v>
      </c>
    </row>
    <row r="171" spans="1:18" s="4" customFormat="1" ht="19.5" customHeight="1">
      <c r="A171" s="8">
        <f>+A170+1</f>
        <v>78</v>
      </c>
      <c r="B171" s="35">
        <f>+B170+1</f>
        <v>88</v>
      </c>
      <c r="C171" s="66" t="s">
        <v>91</v>
      </c>
      <c r="D171" s="67" t="s">
        <v>92</v>
      </c>
      <c r="E171" s="40">
        <v>21.559840600230633</v>
      </c>
      <c r="F171" s="40">
        <v>21.639473338874062</v>
      </c>
      <c r="G171" s="40">
        <v>21.85041097493199</v>
      </c>
      <c r="H171" s="40">
        <f aca="true" t="shared" si="42" ref="H171:R171">H172</f>
        <v>22.7</v>
      </c>
      <c r="I171" s="40">
        <f t="shared" si="42"/>
        <v>23</v>
      </c>
      <c r="J171" s="40">
        <f t="shared" si="42"/>
        <v>23.26</v>
      </c>
      <c r="K171" s="40">
        <f t="shared" si="42"/>
        <v>23.6</v>
      </c>
      <c r="L171" s="40">
        <f t="shared" si="42"/>
        <v>24.01</v>
      </c>
      <c r="M171" s="40">
        <f t="shared" si="42"/>
        <v>24.24</v>
      </c>
      <c r="N171" s="40">
        <f t="shared" si="42"/>
        <v>24.4</v>
      </c>
      <c r="O171" s="40">
        <f t="shared" si="42"/>
        <v>24.5</v>
      </c>
      <c r="P171" s="40">
        <f t="shared" si="42"/>
        <v>24.5</v>
      </c>
      <c r="Q171" s="40">
        <f t="shared" si="42"/>
        <v>24.5</v>
      </c>
      <c r="R171" s="40">
        <f t="shared" si="42"/>
        <v>24.6</v>
      </c>
    </row>
    <row r="172" spans="1:18" s="21" customFormat="1" ht="32.25" customHeight="1" hidden="1">
      <c r="A172" s="15"/>
      <c r="B172" s="47"/>
      <c r="C172" s="71" t="s">
        <v>203</v>
      </c>
      <c r="D172" s="49"/>
      <c r="E172" s="45"/>
      <c r="F172" s="45"/>
      <c r="G172" s="45"/>
      <c r="H172" s="45">
        <v>22.7</v>
      </c>
      <c r="I172" s="45">
        <v>23</v>
      </c>
      <c r="J172" s="45">
        <v>23.26</v>
      </c>
      <c r="K172" s="45">
        <v>23.6</v>
      </c>
      <c r="L172" s="45">
        <v>24.01</v>
      </c>
      <c r="M172" s="45">
        <v>24.24</v>
      </c>
      <c r="N172" s="45">
        <v>24.4</v>
      </c>
      <c r="O172" s="45">
        <v>24.5</v>
      </c>
      <c r="P172" s="45">
        <v>24.5</v>
      </c>
      <c r="Q172" s="45">
        <v>24.5</v>
      </c>
      <c r="R172" s="45">
        <v>24.6</v>
      </c>
    </row>
    <row r="173" spans="1:18" s="4" customFormat="1" ht="74.25" customHeight="1">
      <c r="A173" s="8">
        <f>+A171+1</f>
        <v>79</v>
      </c>
      <c r="B173" s="35">
        <f>+B171+1</f>
        <v>89</v>
      </c>
      <c r="C173" s="66" t="s">
        <v>93</v>
      </c>
      <c r="D173" s="67" t="s">
        <v>11</v>
      </c>
      <c r="E173" s="40">
        <v>93.8</v>
      </c>
      <c r="F173" s="40">
        <v>93.4</v>
      </c>
      <c r="G173" s="40">
        <v>92.8</v>
      </c>
      <c r="H173" s="40">
        <v>97.6</v>
      </c>
      <c r="I173" s="40">
        <v>97.6</v>
      </c>
      <c r="J173" s="40">
        <v>97.4</v>
      </c>
      <c r="K173" s="40">
        <v>97.4</v>
      </c>
      <c r="L173" s="40">
        <v>97.3</v>
      </c>
      <c r="M173" s="40">
        <v>97.3</v>
      </c>
      <c r="N173" s="40">
        <f>1481.1/1521.7*100</f>
        <v>97.33193139252151</v>
      </c>
      <c r="O173" s="40">
        <f>1481.1/1521.7*100</f>
        <v>97.33193139252151</v>
      </c>
      <c r="P173" s="40">
        <f>1481.1/1521.7*100</f>
        <v>97.33193139252151</v>
      </c>
      <c r="Q173" s="40">
        <f>1481.1/1521.7*100</f>
        <v>97.33193139252151</v>
      </c>
      <c r="R173" s="40">
        <f>1481.1/1521.7*100</f>
        <v>97.33193139252151</v>
      </c>
    </row>
    <row r="174" spans="1:18" s="29" customFormat="1" ht="36" customHeight="1" hidden="1">
      <c r="A174" s="27"/>
      <c r="B174" s="70"/>
      <c r="C174" s="71" t="s">
        <v>204</v>
      </c>
      <c r="D174" s="49"/>
      <c r="E174" s="45"/>
      <c r="F174" s="45"/>
      <c r="G174" s="45"/>
      <c r="H174" s="45"/>
      <c r="I174" s="45"/>
      <c r="J174" s="45"/>
      <c r="K174" s="45"/>
      <c r="L174" s="45"/>
      <c r="M174" s="45"/>
      <c r="N174" s="51" t="s">
        <v>205</v>
      </c>
      <c r="O174" s="51" t="s">
        <v>205</v>
      </c>
      <c r="P174" s="51" t="s">
        <v>205</v>
      </c>
      <c r="Q174" s="51" t="s">
        <v>205</v>
      </c>
      <c r="R174" s="51" t="s">
        <v>205</v>
      </c>
    </row>
    <row r="175" spans="1:18" s="4" customFormat="1" ht="39" customHeight="1">
      <c r="A175" s="8">
        <f>+A173+1</f>
        <v>80</v>
      </c>
      <c r="B175" s="35">
        <f>+B173+1</f>
        <v>90</v>
      </c>
      <c r="C175" s="66" t="s">
        <v>94</v>
      </c>
      <c r="D175" s="67" t="s">
        <v>11</v>
      </c>
      <c r="E175" s="40">
        <v>100</v>
      </c>
      <c r="F175" s="40">
        <v>100</v>
      </c>
      <c r="G175" s="40">
        <v>75</v>
      </c>
      <c r="H175" s="40">
        <v>66.7</v>
      </c>
      <c r="I175" s="40">
        <v>100</v>
      </c>
      <c r="J175" s="40">
        <v>100</v>
      </c>
      <c r="K175" s="40">
        <v>100</v>
      </c>
      <c r="L175" s="40">
        <v>100</v>
      </c>
      <c r="M175" s="40">
        <v>100</v>
      </c>
      <c r="N175" s="40">
        <v>100</v>
      </c>
      <c r="O175" s="40">
        <v>100</v>
      </c>
      <c r="P175" s="40">
        <v>100</v>
      </c>
      <c r="Q175" s="40">
        <v>100</v>
      </c>
      <c r="R175" s="40">
        <v>100</v>
      </c>
    </row>
    <row r="176" spans="1:18" s="4" customFormat="1" ht="154.5" customHeight="1">
      <c r="A176" s="8" t="e">
        <f>+#REF!+1</f>
        <v>#REF!</v>
      </c>
      <c r="B176" s="35">
        <f>B175+1</f>
        <v>91</v>
      </c>
      <c r="C176" s="66" t="s">
        <v>97</v>
      </c>
      <c r="D176" s="67" t="s">
        <v>11</v>
      </c>
      <c r="E176" s="40" t="s">
        <v>177</v>
      </c>
      <c r="F176" s="40" t="s">
        <v>177</v>
      </c>
      <c r="G176" s="98">
        <v>25</v>
      </c>
      <c r="H176" s="98">
        <v>25</v>
      </c>
      <c r="I176" s="40" t="s">
        <v>177</v>
      </c>
      <c r="J176" s="40" t="s">
        <v>177</v>
      </c>
      <c r="K176" s="40" t="s">
        <v>177</v>
      </c>
      <c r="L176" s="40" t="s">
        <v>177</v>
      </c>
      <c r="M176" s="40" t="s">
        <v>177</v>
      </c>
      <c r="N176" s="40" t="s">
        <v>177</v>
      </c>
      <c r="O176" s="40" t="s">
        <v>177</v>
      </c>
      <c r="P176" s="40" t="s">
        <v>177</v>
      </c>
      <c r="Q176" s="40" t="s">
        <v>177</v>
      </c>
      <c r="R176" s="40" t="s">
        <v>177</v>
      </c>
    </row>
    <row r="177" spans="1:18" s="4" customFormat="1" ht="39.75" customHeight="1">
      <c r="A177" s="8" t="e">
        <f>+A176+1</f>
        <v>#REF!</v>
      </c>
      <c r="B177" s="35">
        <f>+B176+1</f>
        <v>92</v>
      </c>
      <c r="C177" s="66" t="s">
        <v>95</v>
      </c>
      <c r="D177" s="67" t="s">
        <v>11</v>
      </c>
      <c r="E177" s="40">
        <v>91.4</v>
      </c>
      <c r="F177" s="40">
        <v>96.6</v>
      </c>
      <c r="G177" s="40">
        <v>98.6</v>
      </c>
      <c r="H177" s="40">
        <f aca="true" t="shared" si="43" ref="H177:R177">H178</f>
        <v>99.1</v>
      </c>
      <c r="I177" s="40">
        <f t="shared" si="43"/>
        <v>99</v>
      </c>
      <c r="J177" s="40">
        <f t="shared" si="43"/>
        <v>99.2</v>
      </c>
      <c r="K177" s="40">
        <f t="shared" si="43"/>
        <v>99.4</v>
      </c>
      <c r="L177" s="40">
        <f t="shared" si="43"/>
        <v>99.4</v>
      </c>
      <c r="M177" s="40">
        <f t="shared" si="43"/>
        <v>99.2</v>
      </c>
      <c r="N177" s="40">
        <f t="shared" si="43"/>
        <v>99.5</v>
      </c>
      <c r="O177" s="40">
        <f t="shared" si="43"/>
        <v>99.8</v>
      </c>
      <c r="P177" s="40">
        <f t="shared" si="43"/>
        <v>99.8</v>
      </c>
      <c r="Q177" s="40">
        <f t="shared" si="43"/>
        <v>99.8</v>
      </c>
      <c r="R177" s="40">
        <f t="shared" si="43"/>
        <v>99.8</v>
      </c>
    </row>
    <row r="178" spans="1:18" s="29" customFormat="1" ht="47.25" customHeight="1" hidden="1">
      <c r="A178" s="27"/>
      <c r="B178" s="70"/>
      <c r="C178" s="71" t="s">
        <v>201</v>
      </c>
      <c r="D178" s="49"/>
      <c r="E178" s="45"/>
      <c r="F178" s="45"/>
      <c r="G178" s="45"/>
      <c r="H178" s="45">
        <v>99.1</v>
      </c>
      <c r="I178" s="45">
        <v>99</v>
      </c>
      <c r="J178" s="45">
        <v>99.2</v>
      </c>
      <c r="K178" s="45">
        <v>99.4</v>
      </c>
      <c r="L178" s="45">
        <v>99.4</v>
      </c>
      <c r="M178" s="45">
        <v>99.2</v>
      </c>
      <c r="N178" s="45">
        <v>99.5</v>
      </c>
      <c r="O178" s="45">
        <v>99.8</v>
      </c>
      <c r="P178" s="45">
        <v>99.8</v>
      </c>
      <c r="Q178" s="45">
        <v>99.8</v>
      </c>
      <c r="R178" s="45">
        <v>99.8</v>
      </c>
    </row>
    <row r="179" spans="1:18" s="4" customFormat="1" ht="59.25" customHeight="1">
      <c r="A179" s="8" t="e">
        <f>+A177+1</f>
        <v>#REF!</v>
      </c>
      <c r="B179" s="35">
        <f>+B177+1</f>
        <v>93</v>
      </c>
      <c r="C179" s="66" t="s">
        <v>98</v>
      </c>
      <c r="D179" s="67" t="s">
        <v>11</v>
      </c>
      <c r="E179" s="40">
        <v>98</v>
      </c>
      <c r="F179" s="40">
        <v>98.2</v>
      </c>
      <c r="G179" s="40">
        <v>96.1</v>
      </c>
      <c r="H179" s="40">
        <f aca="true" t="shared" si="44" ref="H179:R179">H180</f>
        <v>97.5</v>
      </c>
      <c r="I179" s="40">
        <f t="shared" si="44"/>
        <v>97.8</v>
      </c>
      <c r="J179" s="40">
        <f t="shared" si="44"/>
        <v>94.7</v>
      </c>
      <c r="K179" s="40">
        <f t="shared" si="44"/>
        <v>99.2</v>
      </c>
      <c r="L179" s="40">
        <f t="shared" si="44"/>
        <v>93.7</v>
      </c>
      <c r="M179" s="40">
        <f t="shared" si="44"/>
        <v>93.7</v>
      </c>
      <c r="N179" s="40">
        <f t="shared" si="44"/>
        <v>95.5</v>
      </c>
      <c r="O179" s="40">
        <f t="shared" si="44"/>
        <v>96.4</v>
      </c>
      <c r="P179" s="40">
        <f t="shared" si="44"/>
        <v>98</v>
      </c>
      <c r="Q179" s="40">
        <f t="shared" si="44"/>
        <v>99.6</v>
      </c>
      <c r="R179" s="40">
        <f t="shared" si="44"/>
        <v>99.8</v>
      </c>
    </row>
    <row r="180" spans="1:18" s="29" customFormat="1" ht="37.5" customHeight="1" hidden="1">
      <c r="A180" s="27"/>
      <c r="B180" s="70"/>
      <c r="C180" s="71" t="s">
        <v>202</v>
      </c>
      <c r="D180" s="49"/>
      <c r="E180" s="45"/>
      <c r="F180" s="45"/>
      <c r="G180" s="45"/>
      <c r="H180" s="45">
        <v>97.5</v>
      </c>
      <c r="I180" s="45">
        <v>97.8</v>
      </c>
      <c r="J180" s="45">
        <v>94.7</v>
      </c>
      <c r="K180" s="45">
        <v>99.2</v>
      </c>
      <c r="L180" s="45">
        <v>93.7</v>
      </c>
      <c r="M180" s="45">
        <v>93.7</v>
      </c>
      <c r="N180" s="45">
        <v>95.5</v>
      </c>
      <c r="O180" s="45">
        <v>96.4</v>
      </c>
      <c r="P180" s="45">
        <v>98</v>
      </c>
      <c r="Q180" s="45">
        <v>99.6</v>
      </c>
      <c r="R180" s="45">
        <v>99.8</v>
      </c>
    </row>
    <row r="181" spans="1:18" s="19" customFormat="1" ht="150" customHeight="1">
      <c r="A181" s="8"/>
      <c r="B181" s="35">
        <f>+B179+1</f>
        <v>94</v>
      </c>
      <c r="C181" s="66" t="s">
        <v>146</v>
      </c>
      <c r="D181" s="67" t="s">
        <v>11</v>
      </c>
      <c r="E181" s="40">
        <v>33.3</v>
      </c>
      <c r="F181" s="40">
        <v>33.3</v>
      </c>
      <c r="G181" s="40">
        <v>33.3</v>
      </c>
      <c r="H181" s="40">
        <v>33.3</v>
      </c>
      <c r="I181" s="40">
        <v>33.3</v>
      </c>
      <c r="J181" s="40">
        <v>33.3</v>
      </c>
      <c r="K181" s="40">
        <v>33.3</v>
      </c>
      <c r="L181" s="40">
        <v>33.3</v>
      </c>
      <c r="M181" s="40">
        <v>33.3</v>
      </c>
      <c r="N181" s="40">
        <v>66.7</v>
      </c>
      <c r="O181" s="40">
        <f>N181</f>
        <v>66.7</v>
      </c>
      <c r="P181" s="40">
        <f>O181</f>
        <v>66.7</v>
      </c>
      <c r="Q181" s="40">
        <f>P181</f>
        <v>66.7</v>
      </c>
      <c r="R181" s="40">
        <f>Q181</f>
        <v>66.7</v>
      </c>
    </row>
    <row r="182" spans="1:18" s="4" customFormat="1" ht="57" customHeight="1">
      <c r="A182" s="8" t="e">
        <f>+#REF!+1</f>
        <v>#REF!</v>
      </c>
      <c r="B182" s="35">
        <f>+B181+1</f>
        <v>95</v>
      </c>
      <c r="C182" s="66" t="s">
        <v>96</v>
      </c>
      <c r="D182" s="67" t="s">
        <v>11</v>
      </c>
      <c r="E182" s="40">
        <v>100</v>
      </c>
      <c r="F182" s="40">
        <v>100</v>
      </c>
      <c r="G182" s="40">
        <v>100</v>
      </c>
      <c r="H182" s="40">
        <v>100</v>
      </c>
      <c r="I182" s="40">
        <v>100</v>
      </c>
      <c r="J182" s="40">
        <v>100</v>
      </c>
      <c r="K182" s="40">
        <v>100</v>
      </c>
      <c r="L182" s="40">
        <v>100</v>
      </c>
      <c r="M182" s="40">
        <v>100</v>
      </c>
      <c r="N182" s="40">
        <v>100</v>
      </c>
      <c r="O182" s="40">
        <v>100</v>
      </c>
      <c r="P182" s="40">
        <v>100</v>
      </c>
      <c r="Q182" s="40">
        <v>100</v>
      </c>
      <c r="R182" s="40">
        <v>100</v>
      </c>
    </row>
    <row r="183" spans="1:18" s="19" customFormat="1" ht="75.75" customHeight="1">
      <c r="A183" s="8"/>
      <c r="B183" s="35">
        <f>+B182+1</f>
        <v>96</v>
      </c>
      <c r="C183" s="66" t="s">
        <v>125</v>
      </c>
      <c r="D183" s="67" t="s">
        <v>11</v>
      </c>
      <c r="E183" s="40">
        <v>0</v>
      </c>
      <c r="F183" s="40">
        <v>0</v>
      </c>
      <c r="G183" s="40">
        <f>G185/G184*100</f>
        <v>66.66666666666666</v>
      </c>
      <c r="H183" s="40">
        <f aca="true" t="shared" si="45" ref="H183:R183">H185/H184*100</f>
        <v>66.66666666666666</v>
      </c>
      <c r="I183" s="40">
        <f t="shared" si="45"/>
        <v>66.66666666666666</v>
      </c>
      <c r="J183" s="40">
        <f t="shared" si="45"/>
        <v>66.66666666666666</v>
      </c>
      <c r="K183" s="40">
        <f t="shared" si="45"/>
        <v>66.66666666666666</v>
      </c>
      <c r="L183" s="40">
        <f t="shared" si="45"/>
        <v>75</v>
      </c>
      <c r="M183" s="40">
        <f t="shared" si="45"/>
        <v>75</v>
      </c>
      <c r="N183" s="40">
        <f>N185/N184*100</f>
        <v>75</v>
      </c>
      <c r="O183" s="40">
        <f>O185/O184*100</f>
        <v>75</v>
      </c>
      <c r="P183" s="40">
        <f t="shared" si="45"/>
        <v>75</v>
      </c>
      <c r="Q183" s="40">
        <f t="shared" si="45"/>
        <v>75</v>
      </c>
      <c r="R183" s="40">
        <f t="shared" si="45"/>
        <v>75</v>
      </c>
    </row>
    <row r="184" spans="1:18" s="29" customFormat="1" ht="21.75" customHeight="1" hidden="1">
      <c r="A184" s="27"/>
      <c r="B184" s="70"/>
      <c r="C184" s="71" t="s">
        <v>199</v>
      </c>
      <c r="D184" s="49"/>
      <c r="E184" s="45"/>
      <c r="F184" s="45"/>
      <c r="G184" s="45">
        <v>3</v>
      </c>
      <c r="H184" s="45">
        <v>3</v>
      </c>
      <c r="I184" s="45">
        <v>3</v>
      </c>
      <c r="J184" s="45">
        <v>3</v>
      </c>
      <c r="K184" s="45">
        <v>3</v>
      </c>
      <c r="L184" s="45">
        <v>4</v>
      </c>
      <c r="M184" s="45">
        <v>4</v>
      </c>
      <c r="N184" s="45">
        <v>4</v>
      </c>
      <c r="O184" s="45">
        <v>4</v>
      </c>
      <c r="P184" s="45">
        <v>4</v>
      </c>
      <c r="Q184" s="45">
        <v>4</v>
      </c>
      <c r="R184" s="45">
        <v>4</v>
      </c>
    </row>
    <row r="185" spans="1:18" s="29" customFormat="1" ht="24.75" customHeight="1" hidden="1">
      <c r="A185" s="27"/>
      <c r="B185" s="70"/>
      <c r="C185" s="71" t="s">
        <v>200</v>
      </c>
      <c r="D185" s="49"/>
      <c r="E185" s="45"/>
      <c r="F185" s="45"/>
      <c r="G185" s="45">
        <v>2</v>
      </c>
      <c r="H185" s="45">
        <v>2</v>
      </c>
      <c r="I185" s="45">
        <v>2</v>
      </c>
      <c r="J185" s="45">
        <v>2</v>
      </c>
      <c r="K185" s="45">
        <v>2</v>
      </c>
      <c r="L185" s="45">
        <v>3</v>
      </c>
      <c r="M185" s="45">
        <v>3</v>
      </c>
      <c r="N185" s="45">
        <v>3</v>
      </c>
      <c r="O185" s="45">
        <v>3</v>
      </c>
      <c r="P185" s="45">
        <v>3</v>
      </c>
      <c r="Q185" s="45">
        <v>3</v>
      </c>
      <c r="R185" s="45">
        <v>3</v>
      </c>
    </row>
    <row r="186" spans="1:18" s="19" customFormat="1" ht="147" customHeight="1">
      <c r="A186" s="8"/>
      <c r="B186" s="35">
        <f>+B183+1</f>
        <v>97</v>
      </c>
      <c r="C186" s="66" t="s">
        <v>178</v>
      </c>
      <c r="D186" s="67" t="s">
        <v>11</v>
      </c>
      <c r="E186" s="40" t="s">
        <v>177</v>
      </c>
      <c r="F186" s="40" t="s">
        <v>177</v>
      </c>
      <c r="G186" s="40">
        <f>+G188/G187*100</f>
        <v>24.096385542168676</v>
      </c>
      <c r="H186" s="40">
        <v>25.5</v>
      </c>
      <c r="I186" s="40">
        <v>30.1</v>
      </c>
      <c r="J186" s="40">
        <v>30.5</v>
      </c>
      <c r="K186" s="40">
        <v>31</v>
      </c>
      <c r="L186" s="40">
        <v>31.9</v>
      </c>
      <c r="M186" s="40">
        <f aca="true" t="shared" si="46" ref="M186:R186">+M188/M187*100</f>
        <v>32.34126984126984</v>
      </c>
      <c r="N186" s="40">
        <f t="shared" si="46"/>
        <v>32.34126984126984</v>
      </c>
      <c r="O186" s="40">
        <f t="shared" si="46"/>
        <v>32.34126984126984</v>
      </c>
      <c r="P186" s="40">
        <f t="shared" si="46"/>
        <v>32.34126984126984</v>
      </c>
      <c r="Q186" s="40">
        <f t="shared" si="46"/>
        <v>32.34126984126984</v>
      </c>
      <c r="R186" s="40">
        <f t="shared" si="46"/>
        <v>32.34126984126984</v>
      </c>
    </row>
    <row r="187" spans="1:18" s="20" customFormat="1" ht="53.25" customHeight="1" hidden="1">
      <c r="A187" s="18"/>
      <c r="B187" s="99"/>
      <c r="C187" s="73" t="s">
        <v>172</v>
      </c>
      <c r="D187" s="49" t="s">
        <v>21</v>
      </c>
      <c r="E187" s="100">
        <v>498</v>
      </c>
      <c r="F187" s="100">
        <v>498</v>
      </c>
      <c r="G187" s="100">
        <v>498</v>
      </c>
      <c r="H187" s="100">
        <v>498</v>
      </c>
      <c r="I187" s="100">
        <v>498</v>
      </c>
      <c r="J187" s="100">
        <v>504</v>
      </c>
      <c r="K187" s="100">
        <v>504</v>
      </c>
      <c r="L187" s="100">
        <v>504</v>
      </c>
      <c r="M187" s="100">
        <v>504</v>
      </c>
      <c r="N187" s="100">
        <v>504</v>
      </c>
      <c r="O187" s="100">
        <v>504</v>
      </c>
      <c r="P187" s="100">
        <v>504</v>
      </c>
      <c r="Q187" s="100">
        <v>504</v>
      </c>
      <c r="R187" s="100">
        <v>504</v>
      </c>
    </row>
    <row r="188" spans="1:18" s="20" customFormat="1" ht="53.25" customHeight="1" hidden="1">
      <c r="A188" s="18"/>
      <c r="B188" s="99"/>
      <c r="C188" s="73" t="s">
        <v>173</v>
      </c>
      <c r="D188" s="49" t="s">
        <v>21</v>
      </c>
      <c r="E188" s="100">
        <v>0</v>
      </c>
      <c r="F188" s="100">
        <v>0</v>
      </c>
      <c r="G188" s="100">
        <v>120</v>
      </c>
      <c r="H188" s="100">
        <v>127</v>
      </c>
      <c r="I188" s="100">
        <v>150</v>
      </c>
      <c r="J188" s="100">
        <v>153</v>
      </c>
      <c r="K188" s="100">
        <v>156</v>
      </c>
      <c r="L188" s="100">
        <v>159</v>
      </c>
      <c r="M188" s="100">
        <v>163</v>
      </c>
      <c r="N188" s="100">
        <v>163</v>
      </c>
      <c r="O188" s="100">
        <v>163</v>
      </c>
      <c r="P188" s="100">
        <v>163</v>
      </c>
      <c r="Q188" s="100">
        <v>163</v>
      </c>
      <c r="R188" s="100">
        <v>163</v>
      </c>
    </row>
    <row r="189" spans="1:19" s="19" customFormat="1" ht="104.25" customHeight="1">
      <c r="A189" s="8"/>
      <c r="B189" s="35">
        <f>+B186+1</f>
        <v>98</v>
      </c>
      <c r="C189" s="66" t="s">
        <v>179</v>
      </c>
      <c r="D189" s="67" t="s">
        <v>11</v>
      </c>
      <c r="E189" s="40" t="s">
        <v>177</v>
      </c>
      <c r="F189" s="40">
        <f aca="true" t="shared" si="47" ref="F189:R189">+F190/F187*100</f>
        <v>0.2008032128514056</v>
      </c>
      <c r="G189" s="40">
        <f t="shared" si="47"/>
        <v>0.4016064257028112</v>
      </c>
      <c r="H189" s="40">
        <f t="shared" si="47"/>
        <v>0.6024096385542169</v>
      </c>
      <c r="I189" s="40">
        <f t="shared" si="47"/>
        <v>0.6024096385542169</v>
      </c>
      <c r="J189" s="40">
        <f t="shared" si="47"/>
        <v>0.5952380952380952</v>
      </c>
      <c r="K189" s="40">
        <f t="shared" si="47"/>
        <v>0.992063492063492</v>
      </c>
      <c r="L189" s="40">
        <f t="shared" si="47"/>
        <v>0.7936507936507936</v>
      </c>
      <c r="M189" s="40">
        <f t="shared" si="47"/>
        <v>0.7936507936507936</v>
      </c>
      <c r="N189" s="40">
        <f t="shared" si="47"/>
        <v>0.992063492063492</v>
      </c>
      <c r="O189" s="40">
        <f t="shared" si="47"/>
        <v>0.992063492063492</v>
      </c>
      <c r="P189" s="40">
        <f t="shared" si="47"/>
        <v>0.992063492063492</v>
      </c>
      <c r="Q189" s="40">
        <f t="shared" si="47"/>
        <v>0.992063492063492</v>
      </c>
      <c r="R189" s="40">
        <f t="shared" si="47"/>
        <v>0.992063492063492</v>
      </c>
      <c r="S189" s="4"/>
    </row>
    <row r="190" spans="1:18" s="31" customFormat="1" ht="40.5" customHeight="1" hidden="1">
      <c r="A190" s="30"/>
      <c r="B190" s="101"/>
      <c r="C190" s="71" t="s">
        <v>167</v>
      </c>
      <c r="D190" s="49" t="s">
        <v>21</v>
      </c>
      <c r="E190" s="100">
        <v>0</v>
      </c>
      <c r="F190" s="100">
        <v>1</v>
      </c>
      <c r="G190" s="100">
        <v>2</v>
      </c>
      <c r="H190" s="100">
        <v>3</v>
      </c>
      <c r="I190" s="100">
        <v>3</v>
      </c>
      <c r="J190" s="100">
        <v>3</v>
      </c>
      <c r="K190" s="100">
        <v>5</v>
      </c>
      <c r="L190" s="100">
        <v>4</v>
      </c>
      <c r="M190" s="100">
        <v>4</v>
      </c>
      <c r="N190" s="100">
        <v>5</v>
      </c>
      <c r="O190" s="100">
        <v>5</v>
      </c>
      <c r="P190" s="100">
        <v>5</v>
      </c>
      <c r="Q190" s="100">
        <v>5</v>
      </c>
      <c r="R190" s="100">
        <v>5</v>
      </c>
    </row>
    <row r="191" spans="1:18" s="19" customFormat="1" ht="103.5" customHeight="1">
      <c r="A191" s="8"/>
      <c r="B191" s="35">
        <f>+B189+1</f>
        <v>99</v>
      </c>
      <c r="C191" s="66" t="s">
        <v>180</v>
      </c>
      <c r="D191" s="67" t="s">
        <v>11</v>
      </c>
      <c r="E191" s="40" t="s">
        <v>177</v>
      </c>
      <c r="F191" s="40" t="s">
        <v>177</v>
      </c>
      <c r="G191" s="40">
        <f>+G193/G192*100</f>
        <v>9.15492957746479</v>
      </c>
      <c r="H191" s="40">
        <f>+H193/H192*100</f>
        <v>10.211267605633804</v>
      </c>
      <c r="I191" s="40">
        <v>10.2</v>
      </c>
      <c r="J191" s="40">
        <v>21.1</v>
      </c>
      <c r="K191" s="40">
        <v>30.6</v>
      </c>
      <c r="L191" s="40">
        <v>30.6</v>
      </c>
      <c r="M191" s="40">
        <f>(8+87)/284*100</f>
        <v>33.45070422535211</v>
      </c>
      <c r="N191" s="40">
        <f>(8+87+11)/284*100</f>
        <v>37.32394366197183</v>
      </c>
      <c r="O191" s="40">
        <f>(8+87+11+11)/284*100</f>
        <v>41.19718309859155</v>
      </c>
      <c r="P191" s="40">
        <f>(8+87+11+11+18)/284*100</f>
        <v>47.53521126760563</v>
      </c>
      <c r="Q191" s="40">
        <f>(8+87+11+11+18+11)/284*100</f>
        <v>51.40845070422535</v>
      </c>
      <c r="R191" s="40">
        <f>(8+87+11+11+18+11+11)/284*100</f>
        <v>55.28169014084507</v>
      </c>
    </row>
    <row r="192" spans="1:18" s="20" customFormat="1" ht="29.25" customHeight="1" hidden="1">
      <c r="A192" s="18"/>
      <c r="B192" s="99"/>
      <c r="C192" s="73" t="s">
        <v>147</v>
      </c>
      <c r="D192" s="102"/>
      <c r="E192" s="103"/>
      <c r="F192" s="103"/>
      <c r="G192" s="100">
        <v>284</v>
      </c>
      <c r="H192" s="100">
        <v>284</v>
      </c>
      <c r="I192" s="100">
        <v>284</v>
      </c>
      <c r="J192" s="100">
        <v>284</v>
      </c>
      <c r="K192" s="100">
        <v>284</v>
      </c>
      <c r="L192" s="100">
        <v>284</v>
      </c>
      <c r="M192" s="100">
        <v>284</v>
      </c>
      <c r="N192" s="100">
        <v>284</v>
      </c>
      <c r="O192" s="100">
        <v>284</v>
      </c>
      <c r="P192" s="100">
        <v>284</v>
      </c>
      <c r="Q192" s="100">
        <v>284</v>
      </c>
      <c r="R192" s="100">
        <v>284</v>
      </c>
    </row>
    <row r="193" spans="1:18" s="20" customFormat="1" ht="29.25" customHeight="1" hidden="1">
      <c r="A193" s="18"/>
      <c r="B193" s="99"/>
      <c r="C193" s="73" t="s">
        <v>151</v>
      </c>
      <c r="D193" s="102"/>
      <c r="E193" s="103"/>
      <c r="F193" s="103"/>
      <c r="G193" s="100">
        <f aca="true" t="shared" si="48" ref="G193:M193">+F193+G196</f>
        <v>26</v>
      </c>
      <c r="H193" s="100">
        <f t="shared" si="48"/>
        <v>29</v>
      </c>
      <c r="I193" s="100">
        <f t="shared" si="48"/>
        <v>42</v>
      </c>
      <c r="J193" s="100">
        <f t="shared" si="48"/>
        <v>80</v>
      </c>
      <c r="K193" s="100">
        <f t="shared" si="48"/>
        <v>147</v>
      </c>
      <c r="L193" s="100">
        <f t="shared" si="48"/>
        <v>214</v>
      </c>
      <c r="M193" s="100">
        <f t="shared" si="48"/>
        <v>281</v>
      </c>
      <c r="N193" s="100">
        <v>284</v>
      </c>
      <c r="O193" s="100">
        <v>284</v>
      </c>
      <c r="P193" s="100">
        <v>284</v>
      </c>
      <c r="Q193" s="100">
        <v>284</v>
      </c>
      <c r="R193" s="100">
        <v>284</v>
      </c>
    </row>
    <row r="194" spans="1:18" s="20" customFormat="1" ht="36" customHeight="1" hidden="1">
      <c r="A194" s="18"/>
      <c r="B194" s="99"/>
      <c r="C194" s="73" t="s">
        <v>150</v>
      </c>
      <c r="D194" s="102"/>
      <c r="E194" s="103"/>
      <c r="F194" s="103"/>
      <c r="G194" s="100">
        <v>0</v>
      </c>
      <c r="H194" s="100">
        <v>3</v>
      </c>
      <c r="I194" s="100">
        <v>13</v>
      </c>
      <c r="J194" s="100">
        <v>80</v>
      </c>
      <c r="K194" s="100">
        <v>147</v>
      </c>
      <c r="L194" s="100">
        <v>214</v>
      </c>
      <c r="M194" s="100">
        <v>284</v>
      </c>
      <c r="N194" s="100">
        <v>284</v>
      </c>
      <c r="O194" s="100">
        <v>284</v>
      </c>
      <c r="P194" s="100">
        <v>284</v>
      </c>
      <c r="Q194" s="100">
        <v>284</v>
      </c>
      <c r="R194" s="100">
        <v>284</v>
      </c>
    </row>
    <row r="195" spans="1:18" s="20" customFormat="1" ht="36" customHeight="1" hidden="1">
      <c r="A195" s="18"/>
      <c r="B195" s="99"/>
      <c r="C195" s="73" t="s">
        <v>148</v>
      </c>
      <c r="D195" s="102"/>
      <c r="E195" s="103"/>
      <c r="F195" s="103"/>
      <c r="G195" s="100">
        <v>26</v>
      </c>
      <c r="H195" s="100">
        <v>3</v>
      </c>
      <c r="I195" s="100">
        <v>13</v>
      </c>
      <c r="J195" s="100">
        <v>80</v>
      </c>
      <c r="K195" s="100">
        <v>147</v>
      </c>
      <c r="L195" s="100">
        <v>214</v>
      </c>
      <c r="M195" s="103"/>
      <c r="N195" s="100">
        <v>87</v>
      </c>
      <c r="O195" s="100">
        <v>87</v>
      </c>
      <c r="P195" s="100">
        <v>87</v>
      </c>
      <c r="Q195" s="100">
        <v>87</v>
      </c>
      <c r="R195" s="100">
        <v>87</v>
      </c>
    </row>
    <row r="196" spans="1:18" s="20" customFormat="1" ht="36" customHeight="1" hidden="1">
      <c r="A196" s="18"/>
      <c r="B196" s="99"/>
      <c r="C196" s="73" t="s">
        <v>149</v>
      </c>
      <c r="D196" s="102"/>
      <c r="E196" s="103"/>
      <c r="F196" s="103"/>
      <c r="G196" s="104">
        <v>26</v>
      </c>
      <c r="H196" s="104">
        <v>3</v>
      </c>
      <c r="I196" s="104">
        <v>13</v>
      </c>
      <c r="J196" s="104">
        <v>38</v>
      </c>
      <c r="K196" s="104">
        <v>67</v>
      </c>
      <c r="L196" s="104">
        <v>67</v>
      </c>
      <c r="M196" s="100">
        <v>67</v>
      </c>
      <c r="N196" s="104">
        <v>0</v>
      </c>
      <c r="O196" s="104">
        <v>0</v>
      </c>
      <c r="P196" s="104">
        <v>0</v>
      </c>
      <c r="Q196" s="104">
        <v>0</v>
      </c>
      <c r="R196" s="104">
        <v>0</v>
      </c>
    </row>
    <row r="197" spans="1:18" s="19" customFormat="1" ht="83.25" customHeight="1">
      <c r="A197" s="8"/>
      <c r="B197" s="35">
        <f>+B191+1</f>
        <v>100</v>
      </c>
      <c r="C197" s="66" t="s">
        <v>168</v>
      </c>
      <c r="D197" s="67" t="s">
        <v>11</v>
      </c>
      <c r="E197" s="40" t="s">
        <v>177</v>
      </c>
      <c r="F197" s="40" t="s">
        <v>177</v>
      </c>
      <c r="G197" s="40" t="s">
        <v>177</v>
      </c>
      <c r="H197" s="40">
        <f aca="true" t="shared" si="49" ref="H197:R197">+H198/H187*100</f>
        <v>83.53413654618474</v>
      </c>
      <c r="I197" s="40">
        <f t="shared" si="49"/>
        <v>100</v>
      </c>
      <c r="J197" s="40">
        <f t="shared" si="49"/>
        <v>98.80952380952381</v>
      </c>
      <c r="K197" s="40">
        <f t="shared" si="49"/>
        <v>99.0079365079365</v>
      </c>
      <c r="L197" s="40">
        <f>+L198/L187*100</f>
        <v>99.0079365079365</v>
      </c>
      <c r="M197" s="40">
        <f t="shared" si="49"/>
        <v>99.0079365079365</v>
      </c>
      <c r="N197" s="40">
        <f>+N198/N187*100</f>
        <v>100</v>
      </c>
      <c r="O197" s="40">
        <f t="shared" si="49"/>
        <v>100</v>
      </c>
      <c r="P197" s="40">
        <f t="shared" si="49"/>
        <v>100</v>
      </c>
      <c r="Q197" s="40">
        <f t="shared" si="49"/>
        <v>100</v>
      </c>
      <c r="R197" s="40">
        <f t="shared" si="49"/>
        <v>100</v>
      </c>
    </row>
    <row r="198" spans="1:18" s="21" customFormat="1" ht="29.25" customHeight="1" hidden="1">
      <c r="A198" s="15"/>
      <c r="B198" s="47"/>
      <c r="C198" s="73" t="s">
        <v>169</v>
      </c>
      <c r="D198" s="49"/>
      <c r="E198" s="40" t="s">
        <v>177</v>
      </c>
      <c r="F198" s="40" t="s">
        <v>177</v>
      </c>
      <c r="G198" s="40" t="s">
        <v>177</v>
      </c>
      <c r="H198" s="45">
        <v>416</v>
      </c>
      <c r="I198" s="45">
        <v>498</v>
      </c>
      <c r="J198" s="45">
        <v>498</v>
      </c>
      <c r="K198" s="45">
        <v>499</v>
      </c>
      <c r="L198" s="45">
        <v>499</v>
      </c>
      <c r="M198" s="45">
        <v>499</v>
      </c>
      <c r="N198" s="45">
        <v>504</v>
      </c>
      <c r="O198" s="45">
        <v>504</v>
      </c>
      <c r="P198" s="45">
        <v>504</v>
      </c>
      <c r="Q198" s="45">
        <v>504</v>
      </c>
      <c r="R198" s="45">
        <v>504</v>
      </c>
    </row>
    <row r="199" spans="1:18" s="19" customFormat="1" ht="108" customHeight="1">
      <c r="A199" s="8"/>
      <c r="B199" s="35">
        <f>+B197+1</f>
        <v>101</v>
      </c>
      <c r="C199" s="66" t="s">
        <v>170</v>
      </c>
      <c r="D199" s="67" t="s">
        <v>11</v>
      </c>
      <c r="E199" s="40" t="s">
        <v>177</v>
      </c>
      <c r="F199" s="40" t="s">
        <v>177</v>
      </c>
      <c r="G199" s="40" t="s">
        <v>177</v>
      </c>
      <c r="H199" s="40">
        <f aca="true" t="shared" si="50" ref="H199:R199">+H200/H187*100</f>
        <v>83.53413654618474</v>
      </c>
      <c r="I199" s="40">
        <f t="shared" si="50"/>
        <v>100</v>
      </c>
      <c r="J199" s="40">
        <f t="shared" si="50"/>
        <v>98.80952380952381</v>
      </c>
      <c r="K199" s="40">
        <f t="shared" si="50"/>
        <v>99.0079365079365</v>
      </c>
      <c r="L199" s="40">
        <f t="shared" si="50"/>
        <v>99.0079365079365</v>
      </c>
      <c r="M199" s="40">
        <f t="shared" si="50"/>
        <v>99.0079365079365</v>
      </c>
      <c r="N199" s="40">
        <f t="shared" si="50"/>
        <v>100</v>
      </c>
      <c r="O199" s="40">
        <f t="shared" si="50"/>
        <v>100</v>
      </c>
      <c r="P199" s="40">
        <f t="shared" si="50"/>
        <v>100</v>
      </c>
      <c r="Q199" s="40">
        <f t="shared" si="50"/>
        <v>100</v>
      </c>
      <c r="R199" s="40">
        <f t="shared" si="50"/>
        <v>100</v>
      </c>
    </row>
    <row r="200" spans="1:18" s="21" customFormat="1" ht="44.25" customHeight="1" hidden="1">
      <c r="A200" s="15"/>
      <c r="B200" s="47"/>
      <c r="C200" s="73" t="s">
        <v>171</v>
      </c>
      <c r="D200" s="49"/>
      <c r="E200" s="45"/>
      <c r="F200" s="45"/>
      <c r="G200" s="45"/>
      <c r="H200" s="45">
        <v>416</v>
      </c>
      <c r="I200" s="45">
        <v>498</v>
      </c>
      <c r="J200" s="45">
        <v>498</v>
      </c>
      <c r="K200" s="45">
        <v>499</v>
      </c>
      <c r="L200" s="45">
        <v>499</v>
      </c>
      <c r="M200" s="45">
        <v>499</v>
      </c>
      <c r="N200" s="45">
        <v>504</v>
      </c>
      <c r="O200" s="45">
        <v>504</v>
      </c>
      <c r="P200" s="45">
        <v>504</v>
      </c>
      <c r="Q200" s="45">
        <v>504</v>
      </c>
      <c r="R200" s="45">
        <v>504</v>
      </c>
    </row>
    <row r="201" spans="1:18" s="19" customFormat="1" ht="126.75" customHeight="1">
      <c r="A201" s="8"/>
      <c r="B201" s="35">
        <f>+B199+1</f>
        <v>102</v>
      </c>
      <c r="C201" s="66" t="s">
        <v>181</v>
      </c>
      <c r="D201" s="67" t="s">
        <v>11</v>
      </c>
      <c r="E201" s="40" t="s">
        <v>177</v>
      </c>
      <c r="F201" s="40" t="s">
        <v>177</v>
      </c>
      <c r="G201" s="40">
        <v>0.25</v>
      </c>
      <c r="H201" s="40">
        <f aca="true" t="shared" si="51" ref="H201:R201">H202</f>
        <v>3.8</v>
      </c>
      <c r="I201" s="40">
        <f t="shared" si="51"/>
        <v>4</v>
      </c>
      <c r="J201" s="40">
        <f t="shared" si="51"/>
        <v>8.42</v>
      </c>
      <c r="K201" s="40">
        <f t="shared" si="51"/>
        <v>13.02</v>
      </c>
      <c r="L201" s="40">
        <f t="shared" si="51"/>
        <v>39.23</v>
      </c>
      <c r="M201" s="40">
        <f t="shared" si="51"/>
        <v>68.32</v>
      </c>
      <c r="N201" s="40">
        <f t="shared" si="51"/>
        <v>74.53</v>
      </c>
      <c r="O201" s="40">
        <f t="shared" si="51"/>
        <v>98.64</v>
      </c>
      <c r="P201" s="40">
        <f t="shared" si="51"/>
        <v>100</v>
      </c>
      <c r="Q201" s="40">
        <f t="shared" si="51"/>
        <v>100</v>
      </c>
      <c r="R201" s="40">
        <f t="shared" si="51"/>
        <v>100</v>
      </c>
    </row>
    <row r="202" spans="1:18" s="21" customFormat="1" ht="55.5" customHeight="1" hidden="1">
      <c r="A202" s="15"/>
      <c r="B202" s="47"/>
      <c r="C202" s="73" t="s">
        <v>220</v>
      </c>
      <c r="D202" s="49"/>
      <c r="E202" s="45"/>
      <c r="F202" s="45"/>
      <c r="G202" s="45"/>
      <c r="H202" s="45">
        <v>3.8</v>
      </c>
      <c r="I202" s="45">
        <v>4</v>
      </c>
      <c r="J202" s="45">
        <v>8.42</v>
      </c>
      <c r="K202" s="45">
        <v>13.02</v>
      </c>
      <c r="L202" s="45">
        <v>39.23</v>
      </c>
      <c r="M202" s="45">
        <v>68.32</v>
      </c>
      <c r="N202" s="46">
        <v>74.53</v>
      </c>
      <c r="O202" s="46">
        <v>98.64</v>
      </c>
      <c r="P202" s="46">
        <v>100</v>
      </c>
      <c r="Q202" s="46">
        <v>100</v>
      </c>
      <c r="R202" s="46">
        <v>100</v>
      </c>
    </row>
    <row r="203" spans="1:18" s="4" customFormat="1" ht="21.75" customHeight="1">
      <c r="A203" s="8"/>
      <c r="B203" s="35"/>
      <c r="C203" s="114" t="s">
        <v>99</v>
      </c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84"/>
      <c r="O203" s="84"/>
      <c r="P203" s="84"/>
      <c r="Q203" s="84"/>
      <c r="R203" s="109"/>
    </row>
    <row r="204" spans="1:18" s="4" customFormat="1" ht="37.5" customHeight="1">
      <c r="A204" s="8">
        <v>85</v>
      </c>
      <c r="B204" s="35">
        <f>+B201+1</f>
        <v>103</v>
      </c>
      <c r="C204" s="66" t="s">
        <v>100</v>
      </c>
      <c r="D204" s="67" t="s">
        <v>21</v>
      </c>
      <c r="E204" s="40">
        <v>23.7</v>
      </c>
      <c r="F204" s="40">
        <v>21.4</v>
      </c>
      <c r="G204" s="40">
        <v>19.8</v>
      </c>
      <c r="H204" s="40">
        <v>19</v>
      </c>
      <c r="I204" s="40">
        <v>10.5</v>
      </c>
      <c r="J204" s="40">
        <v>7.8</v>
      </c>
      <c r="K204" s="40">
        <v>10.4</v>
      </c>
      <c r="L204" s="40">
        <v>17.7</v>
      </c>
      <c r="M204" s="40">
        <f>(E204+F204+G204+H204+I204+J204+K204+L204)/8</f>
        <v>16.287499999999998</v>
      </c>
      <c r="N204" s="40">
        <f>(F204+G204+H204+I204+J204+K204+L204+M204)/8</f>
        <v>15.3609375</v>
      </c>
      <c r="O204" s="40">
        <f>(G204+H204+I204+J204+K204+L204+M204+N204)/8</f>
        <v>14.6060546875</v>
      </c>
      <c r="P204" s="40">
        <f>(H204+I204+J204+K204+L204+M204+N204+O204)/8</f>
        <v>13.9568115234375</v>
      </c>
      <c r="Q204" s="40">
        <f>P204</f>
        <v>13.9568115234375</v>
      </c>
      <c r="R204" s="40">
        <f>Q204</f>
        <v>13.9568115234375</v>
      </c>
    </row>
    <row r="205" spans="1:18" s="4" customFormat="1" ht="18.75" customHeight="1">
      <c r="A205" s="8">
        <f>+A204+1</f>
        <v>86</v>
      </c>
      <c r="B205" s="35">
        <f>+B204+1</f>
        <v>104</v>
      </c>
      <c r="C205" s="66" t="s">
        <v>175</v>
      </c>
      <c r="D205" s="105" t="s">
        <v>11</v>
      </c>
      <c r="E205" s="40">
        <v>47.7</v>
      </c>
      <c r="F205" s="40">
        <v>43.7</v>
      </c>
      <c r="G205" s="40">
        <v>43.1</v>
      </c>
      <c r="H205" s="40">
        <v>45.8</v>
      </c>
      <c r="I205" s="40">
        <v>47.6</v>
      </c>
      <c r="J205" s="40">
        <v>54.7</v>
      </c>
      <c r="K205" s="40">
        <v>51.9</v>
      </c>
      <c r="L205" s="40">
        <v>54.6</v>
      </c>
      <c r="M205" s="40">
        <v>57.2</v>
      </c>
      <c r="N205" s="40">
        <v>59</v>
      </c>
      <c r="O205" s="40">
        <v>60.9</v>
      </c>
      <c r="P205" s="40">
        <v>62.8</v>
      </c>
      <c r="Q205" s="40">
        <v>64.8</v>
      </c>
      <c r="R205" s="40">
        <v>66.8</v>
      </c>
    </row>
    <row r="206" spans="1:18" s="4" customFormat="1" ht="7.5" customHeight="1">
      <c r="A206" s="22"/>
      <c r="B206" s="106"/>
      <c r="C206" s="38"/>
      <c r="D206" s="107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</row>
    <row r="207" spans="1:18" s="4" customFormat="1" ht="15.75">
      <c r="A207" s="22"/>
      <c r="B207" s="106"/>
      <c r="C207" s="108" t="s">
        <v>174</v>
      </c>
      <c r="D207" s="56"/>
      <c r="E207" s="54"/>
      <c r="F207" s="54"/>
      <c r="G207" s="54"/>
      <c r="H207" s="54"/>
      <c r="I207" s="54"/>
      <c r="J207" s="54"/>
      <c r="K207" s="106"/>
      <c r="L207" s="106"/>
      <c r="M207" s="106"/>
      <c r="N207" s="54"/>
      <c r="O207" s="54"/>
      <c r="P207" s="106"/>
      <c r="Q207" s="106"/>
      <c r="R207" s="106"/>
    </row>
    <row r="208" spans="1:18" s="4" customFormat="1" ht="15.75">
      <c r="A208" s="22"/>
      <c r="B208" s="106"/>
      <c r="C208" s="108" t="s">
        <v>183</v>
      </c>
      <c r="D208" s="56"/>
      <c r="E208" s="54"/>
      <c r="F208" s="54"/>
      <c r="G208" s="54"/>
      <c r="H208" s="54"/>
      <c r="I208" s="54"/>
      <c r="J208" s="54"/>
      <c r="K208" s="106"/>
      <c r="L208" s="106"/>
      <c r="M208" s="106"/>
      <c r="N208" s="54"/>
      <c r="O208" s="54"/>
      <c r="P208" s="106"/>
      <c r="Q208" s="106"/>
      <c r="R208" s="106"/>
    </row>
    <row r="209" spans="1:18" s="4" customFormat="1" ht="15.75">
      <c r="A209" s="22"/>
      <c r="B209" s="106"/>
      <c r="C209" s="108" t="s">
        <v>182</v>
      </c>
      <c r="D209" s="56"/>
      <c r="E209" s="54"/>
      <c r="F209" s="54"/>
      <c r="G209" s="54"/>
      <c r="H209" s="54"/>
      <c r="I209" s="54"/>
      <c r="J209" s="54"/>
      <c r="K209" s="106"/>
      <c r="L209" s="106"/>
      <c r="M209" s="106"/>
      <c r="N209" s="54"/>
      <c r="O209" s="54"/>
      <c r="P209" s="106"/>
      <c r="Q209" s="106"/>
      <c r="R209" s="106"/>
    </row>
    <row r="210" spans="1:18" s="4" customFormat="1" ht="409.5" customHeight="1">
      <c r="A210" s="22"/>
      <c r="B210" s="106"/>
      <c r="C210" s="108"/>
      <c r="D210" s="56"/>
      <c r="E210" s="54"/>
      <c r="F210" s="54"/>
      <c r="G210" s="54"/>
      <c r="H210" s="54"/>
      <c r="I210" s="54"/>
      <c r="J210" s="54"/>
      <c r="K210" s="106"/>
      <c r="L210" s="106"/>
      <c r="M210" s="106"/>
      <c r="N210" s="54"/>
      <c r="O210" s="54"/>
      <c r="P210" s="106"/>
      <c r="Q210" s="106"/>
      <c r="R210" s="106"/>
    </row>
    <row r="211" spans="3:15" ht="101.25">
      <c r="C211" s="113" t="s">
        <v>249</v>
      </c>
      <c r="D211" s="56"/>
      <c r="E211" s="54"/>
      <c r="F211" s="54"/>
      <c r="G211" s="54"/>
      <c r="H211" s="54"/>
      <c r="I211" s="54"/>
      <c r="J211" s="54"/>
      <c r="N211" s="54"/>
      <c r="O211" s="54"/>
    </row>
    <row r="212" spans="3:15" ht="15.75">
      <c r="C212" s="108"/>
      <c r="D212" s="56"/>
      <c r="E212" s="54"/>
      <c r="F212" s="54"/>
      <c r="G212" s="54"/>
      <c r="H212" s="54"/>
      <c r="I212" s="54"/>
      <c r="J212" s="54"/>
      <c r="N212" s="54"/>
      <c r="O212" s="54"/>
    </row>
  </sheetData>
  <sheetProtection/>
  <mergeCells count="22">
    <mergeCell ref="A6:A7"/>
    <mergeCell ref="B6:B7"/>
    <mergeCell ref="C6:C7"/>
    <mergeCell ref="D6:D7"/>
    <mergeCell ref="N6:R6"/>
    <mergeCell ref="C21:R21"/>
    <mergeCell ref="C22:R22"/>
    <mergeCell ref="C62:R62"/>
    <mergeCell ref="C63:R63"/>
    <mergeCell ref="C97:R97"/>
    <mergeCell ref="N1:R1"/>
    <mergeCell ref="C3:M3"/>
    <mergeCell ref="C203:M203"/>
    <mergeCell ref="E6:L6"/>
    <mergeCell ref="M6:M7"/>
    <mergeCell ref="C98:R98"/>
    <mergeCell ref="C113:M113"/>
    <mergeCell ref="C160:R160"/>
    <mergeCell ref="C163:R163"/>
    <mergeCell ref="C167:R167"/>
    <mergeCell ref="C168:R168"/>
    <mergeCell ref="C8:R8"/>
  </mergeCells>
  <printOptions/>
  <pageMargins left="0.3937007874015748" right="0.3937007874015748" top="0.984251968503937" bottom="0.5905511811023623" header="0.5118110236220472" footer="0.31496062992125984"/>
  <pageSetup firstPageNumber="292" useFirstPageNumber="1" fitToHeight="0" fitToWidth="1" orientation="landscape" paperSize="9" scale="60" r:id="rId3"/>
  <headerFooter alignWithMargins="0">
    <oddFooter>&amp;L&amp;"Times New Roman,обычный"&amp;16&amp;P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Зырянова Татьяна Алексеевна</cp:lastModifiedBy>
  <cp:lastPrinted>2016-02-29T02:20:57Z</cp:lastPrinted>
  <dcterms:created xsi:type="dcterms:W3CDTF">2011-02-25T14:55:24Z</dcterms:created>
  <dcterms:modified xsi:type="dcterms:W3CDTF">2016-02-29T02:21:32Z</dcterms:modified>
  <cp:category/>
  <cp:version/>
  <cp:contentType/>
  <cp:contentStatus/>
</cp:coreProperties>
</file>